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tabRatio="846" activeTab="1"/>
  </bookViews>
  <sheets>
    <sheet name="测算重点数据说明" sheetId="4" r:id="rId1"/>
    <sheet name="Sheet1" sheetId="1" r:id="rId2"/>
    <sheet name="个人账户养老金计发月数表" sheetId="2" r:id="rId3"/>
    <sheet name="吉林省2022年企业职工基本养老金计发基数" sheetId="3" r:id="rId4"/>
    <sheet name="养老保险缴费基数及比例" sheetId="5" r:id="rId5"/>
    <sheet name="抚恤金" sheetId="6" r:id="rId6"/>
    <sheet name="Sheet2" sheetId="7" r:id="rId7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有断档无法按参保时间和退休时间推算实际缴费年限</t>
        </r>
      </text>
    </comment>
  </commentList>
</comments>
</file>

<file path=xl/comments2.xml><?xml version="1.0" encoding="utf-8"?>
<comments xmlns="http://schemas.openxmlformats.org/spreadsheetml/2006/main">
  <authors>
    <author>张斌</author>
    <author>Administrator</author>
  </authors>
  <commentList>
    <comment ref="C5" authorId="0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参考附表2 数据</t>
        </r>
      </text>
    </comment>
    <comment ref="F7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H12" authorId="0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长春市养老计发基数是91251元/年，也就是7604.25元/月</t>
        </r>
      </text>
    </comment>
    <comment ref="C29" authorId="0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(计发月数根据退休年龄和当时的人口平均寿命来确定。计发月数略等于(人口平均寿命-退休年龄)X12
看附表2 数据</t>
        </r>
      </text>
    </comment>
  </commentList>
</comments>
</file>

<file path=xl/sharedStrings.xml><?xml version="1.0" encoding="utf-8"?>
<sst xmlns="http://schemas.openxmlformats.org/spreadsheetml/2006/main" count="254" uniqueCount="203">
  <si>
    <t>项目：</t>
  </si>
  <si>
    <t>数据</t>
  </si>
  <si>
    <t>粉色背景内容需要手动填写，其他区域不要动了。</t>
  </si>
  <si>
    <t>年龄</t>
  </si>
  <si>
    <t>个人账户养老金计发月数表</t>
  </si>
  <si>
    <t>*</t>
  </si>
  <si>
    <t>视同缴费（年）</t>
  </si>
  <si>
    <t>不要动</t>
  </si>
  <si>
    <t>参加工作时间（参保时间）</t>
  </si>
  <si>
    <t>早于1995年7月1日的，可以推算视同缴费，但很多人也没有视同缴费，没有填0即可。</t>
  </si>
  <si>
    <t>“视同缴费”就是指：实际上没有缴纳费用，但是在核算退休时，当做你缴纳了费用。</t>
  </si>
  <si>
    <t>实际缴纳年限</t>
  </si>
  <si>
    <t>累计缴费年限</t>
  </si>
  <si>
    <t>吉林省视同缴费年限为 1995 年 7 月 1 日建立个人账户制度前符合国家政策规定的连续工龄。</t>
  </si>
  <si>
    <t>个人账户累计存储额</t>
  </si>
  <si>
    <t xml:space="preserve">平均缴费指数 </t>
  </si>
  <si>
    <t>按最低档60%（0.6）计算 无需修改</t>
  </si>
  <si>
    <t>1 就是百分之百档位</t>
  </si>
  <si>
    <t>上一年度全（省） 计发基数工资</t>
  </si>
  <si>
    <t>省直</t>
  </si>
  <si>
    <t>无需修改</t>
  </si>
  <si>
    <t>上一年度（市）县 计发基数工资</t>
  </si>
  <si>
    <t>长春市</t>
  </si>
  <si>
    <t>上一年度全（省）计发基数月平均工资</t>
  </si>
  <si>
    <t>上一年度全（市）计发基数月平均工资</t>
  </si>
  <si>
    <t>过度系数1.2%（1.4%）</t>
  </si>
  <si>
    <t>基础养老金增发部分</t>
  </si>
  <si>
    <t>累计年限 不超过21年没有增发，记得调整计算页数值。</t>
  </si>
  <si>
    <t>视同缴费（月）</t>
  </si>
  <si>
    <t>到手工资：</t>
  </si>
  <si>
    <t>回本年限</t>
  </si>
  <si>
    <t xml:space="preserve">此表由 9612333.com 站长制作 </t>
  </si>
  <si>
    <t>本文介绍了如何计算吉林省职工养老保险金，根据参保人员缴费基数、缴费年限、平均工资等参数进行计算。计算公式包括基础养老金、个人账户养老金和过渡性养老金。本文给出了不同地区的缴费基数和养老金计算档次，但没有说明如何确定特定参保人的缴费基数和缴费年限等参数。</t>
  </si>
  <si>
    <t>此表由《优秀经办人》社群，群主制表。有问题留言。</t>
  </si>
  <si>
    <t>吉林省城镇职工养老保险基本养老金预核定表</t>
  </si>
  <si>
    <t>平均缴费指数</t>
  </si>
  <si>
    <t>出生日期</t>
  </si>
  <si>
    <t>参加工作时间</t>
  </si>
  <si>
    <t>视同缴费年限(1995.07)</t>
  </si>
  <si>
    <t>平均缴费工资指数=(a1/A1+a2/A2+……+an/An)÷N
公式中，a1、a2……an为参保人员退休前1年、2年……n年本人缴费工资额；
A1、A2……An为参保人员退休前1年、2年……n年全省职工平均工资；
N为企业和职工实际缴纳基本养老保险费的年限。</t>
  </si>
  <si>
    <t>退休日期</t>
  </si>
  <si>
    <t>开始交社保的时间</t>
  </si>
  <si>
    <t>实际缴费年限</t>
  </si>
  <si>
    <t>吉林省</t>
  </si>
  <si>
    <t>养老金计发基数（2022年）</t>
  </si>
  <si>
    <t>年度</t>
  </si>
  <si>
    <t>平均工资</t>
  </si>
  <si>
    <t>省社平工资</t>
  </si>
  <si>
    <t>举例：</t>
  </si>
  <si>
    <t>a1</t>
  </si>
  <si>
    <t>A1</t>
  </si>
  <si>
    <t>N=</t>
  </si>
  <si>
    <t>公式＝基础养老金①＋基础养老金增发额②＋个人帐户养老金③＋过渡性养老金④＋其他⑤</t>
  </si>
  <si>
    <t>a2</t>
  </si>
  <si>
    <t>A2</t>
  </si>
  <si>
    <r>
      <t>上一年度</t>
    </r>
    <r>
      <rPr>
        <b/>
        <sz val="12"/>
        <rFont val="微软雅黑"/>
        <family val="2"/>
        <charset val="134"/>
      </rPr>
      <t>市县</t>
    </r>
    <r>
      <rPr>
        <sz val="12"/>
        <rFont val="微软雅黑"/>
        <family val="2"/>
        <charset val="134"/>
      </rPr>
      <t xml:space="preserve"> 计发基数月平 均工资 91251 / 12个月</t>
    </r>
  </si>
  <si>
    <t>a3</t>
  </si>
  <si>
    <t>A3</t>
  </si>
  <si>
    <r>
      <t>上一年度</t>
    </r>
    <r>
      <rPr>
        <b/>
        <sz val="12"/>
        <rFont val="微软雅黑"/>
        <family val="2"/>
        <charset val="134"/>
      </rPr>
      <t>全省</t>
    </r>
    <r>
      <rPr>
        <sz val="12"/>
        <rFont val="微软雅黑"/>
        <family val="2"/>
        <charset val="134"/>
      </rPr>
      <t xml:space="preserve"> 计发基数月平 均工资 79242 / 12个月</t>
    </r>
  </si>
  <si>
    <t>a4</t>
  </si>
  <si>
    <t>A4</t>
  </si>
  <si>
    <t>①</t>
  </si>
  <si>
    <t>基础养老金</t>
  </si>
  <si>
    <t>上一年度市县 计发基数月平 均工资</t>
  </si>
  <si>
    <t>元</t>
  </si>
  <si>
    <r>
      <t>基础养老金</t>
    </r>
    <r>
      <rPr>
        <sz val="12"/>
        <rFont val="微软雅黑"/>
        <family val="2"/>
        <charset val="134"/>
      </rPr>
      <t xml:space="preserve">
公式＝（上一年度市县计发基数月平均工资＋上一年度全省计发基数月平均工资×本人平均缴费工资指数）÷2×缴费年限×计发比例
＝（5508.08＋6337.33×0.4935）÷2×33.58×1%
＝4317.78×33.58×1%
＝1449.91</t>
    </r>
  </si>
  <si>
    <t>a5</t>
  </si>
  <si>
    <t>A5</t>
  </si>
  <si>
    <t>上一年度全省 计发基数月平 均工资</t>
  </si>
  <si>
    <t>a6</t>
  </si>
  <si>
    <t>A6</t>
  </si>
  <si>
    <t>本人平均缴费工资指数</t>
  </si>
  <si>
    <t>a7</t>
  </si>
  <si>
    <t>A7</t>
  </si>
  <si>
    <t>÷</t>
  </si>
  <si>
    <t>a8</t>
  </si>
  <si>
    <t>A8</t>
  </si>
  <si>
    <t xml:space="preserve">计发比例</t>
  </si>
  <si>
    <t>……</t>
  </si>
  <si>
    <t>缴费年限</t>
  </si>
  <si>
    <t>年</t>
  </si>
  <si>
    <t>注：基础养老金计算当中用到了两个基数数。一个是所在市县的养老金计发基数5508.08，另一个是吉林省的养老金计发基数6337.33，这就是我们说的两个基数。括号内二项求合除2得到4317.78，是下一步＂基础养老金增发额＂计算时候用到的一个平均基数，这个平均基数我们记一下，下面要用。</t>
  </si>
  <si>
    <t>=</t>
  </si>
  <si>
    <t>合计</t>
  </si>
  <si>
    <t>月金额</t>
  </si>
  <si>
    <t>公式说明</t>
  </si>
  <si>
    <t>( 1 + 2 * 3 ) ÷ 2 * 5 * 6 = 7</t>
  </si>
  <si>
    <t>②</t>
  </si>
  <si>
    <t>实际缴费
年限达到
或超过20
年以上得
参保人员
月基础养
老金增发
部分</t>
  </si>
  <si>
    <t>增发比例</t>
  </si>
  <si>
    <t>月增加基本养老金（元）</t>
  </si>
  <si>
    <t>公式区</t>
  </si>
  <si>
    <r>
      <t>基础养老金增发额</t>
    </r>
    <r>
      <rPr>
        <sz val="12"/>
        <color theme="1"/>
        <rFont val="微软雅黑"/>
        <family val="2"/>
        <charset val="134"/>
      </rPr>
      <t xml:space="preserve">
这是两项激励的一项，是吉林养老金计算特有的，怎么奖励的呢？
这里其实就是鼓励长缴多得，缴费年限20年以上按下面档位增发：
缴费年限（21～25）年，0.15%增发
缴费年限（26～30）年，0.20%增发
缴费年限31年以上，0.25%增发。</t>
    </r>
  </si>
  <si>
    <t>分段计算：
公式＝计发基数平均值×增发比例×年限
（21～25）年＝4317.78×0.15%×5＝32.38
（26～30）年＝4317.78×0.2%×5＝43.18
31年以上＝4317.78×0.25%×（33.58-30）＝38.64
基础养老金增发部分合计＝ 32.38＋43.18＋38.64＝114.2</t>
  </si>
  <si>
    <t>21-25年部分</t>
  </si>
  <si>
    <t>5882.23*0.20%*5</t>
  </si>
  <si>
    <t>26-30年部分</t>
  </si>
  <si>
    <t>5882.23*0.20%*5.42</t>
  </si>
  <si>
    <t>31年及以上部分</t>
  </si>
  <si>
    <t>视同缴费年限 3.5年等于42个月</t>
  </si>
  <si>
    <t>-</t>
  </si>
  <si>
    <t>31年以上＝4317.78×0.25%×（33.58-30）＝38.64</t>
  </si>
  <si>
    <t>③</t>
  </si>
  <si>
    <t>个人
账户
养老金</t>
  </si>
  <si>
    <t>个人账户累计储存额</t>
  </si>
  <si>
    <r>
      <t>个人账户养老金</t>
    </r>
    <r>
      <rPr>
        <sz val="12"/>
        <color theme="1"/>
        <rFont val="微软雅黑"/>
        <family val="2"/>
        <charset val="134"/>
      </rPr>
      <t xml:space="preserve">
公式＝个人账户累计存储额÷计发月数
＝48731.19÷195
＝249.9</t>
    </r>
  </si>
  <si>
    <t>注：计发月数与退休年龄有关。60岁退休计发月数139个月，55岁退休计发月数170个月，50岁退休计发月数195个月。</t>
  </si>
  <si>
    <t>计发月数</t>
  </si>
  <si>
    <t>④</t>
  </si>
  <si>
    <t>过渡性养
老金</t>
  </si>
  <si>
    <t>上一年度全省计发基数月平均工资</t>
  </si>
  <si>
    <r>
      <t>过渡性养老金</t>
    </r>
    <r>
      <rPr>
        <sz val="12"/>
        <color theme="1"/>
        <rFont val="微软雅黑"/>
        <family val="2"/>
        <charset val="134"/>
      </rPr>
      <t xml:space="preserve">
公式＝上一年度全省计发基数×本人平均缴费指数×视同缴费年限×过渡系数1.2%（1.4%）
注：过渡系数有两个。对于缴费年限超过20年的退休人员，过渡系数按1.4%计算。20年以下的，过渡系数按1.2%计算。这就是我们说的第二个激励机制，鼓励长缴多得。
另外在过渡性养老金计算当中，我们还需要注意这里用到的计发基数是省的计发基数，不是本人所在市县的。</t>
    </r>
  </si>
  <si>
    <t>还有一点注意的是，用本人平均缴费工资指数，不是用视同缴费指数
将相关数据代入公式
过渡性养老金
＝6333.33×0.4935×6.8x1.4%
＝297.74</t>
  </si>
  <si>
    <t>视同缴费年限</t>
  </si>
  <si>
    <t>⑤</t>
  </si>
  <si>
    <t>职称</t>
  </si>
  <si>
    <t>劳模</t>
  </si>
  <si>
    <t>到手金额</t>
  </si>
  <si>
    <t>①  +  ②  +  ③  +  ④  +  ⑤  =  退休金</t>
  </si>
  <si>
    <t>退休年龄</t>
  </si>
  <si>
    <t>月</t>
  </si>
  <si>
    <t>计算</t>
  </si>
  <si>
    <t>双阳区</t>
  </si>
  <si>
    <t>农安县</t>
  </si>
  <si>
    <t>九台区</t>
  </si>
  <si>
    <t>榆树市</t>
  </si>
  <si>
    <t>德惠市</t>
  </si>
  <si>
    <t>吉林市</t>
  </si>
  <si>
    <t>永吉县</t>
  </si>
  <si>
    <t>蛟河市</t>
  </si>
  <si>
    <t>桦甸市</t>
  </si>
  <si>
    <t>舒兰市</t>
  </si>
  <si>
    <t>磐石市</t>
  </si>
  <si>
    <t>四平市</t>
  </si>
  <si>
    <t>梨树县</t>
  </si>
  <si>
    <t>伊通县</t>
  </si>
  <si>
    <t>公主岭市</t>
  </si>
  <si>
    <t>双辽市</t>
  </si>
  <si>
    <t>辽源市</t>
  </si>
  <si>
    <t>东丰县</t>
  </si>
  <si>
    <t>东辽县</t>
  </si>
  <si>
    <t>通化市</t>
  </si>
  <si>
    <t>通化县</t>
  </si>
  <si>
    <t>辉南县</t>
  </si>
  <si>
    <t>柳河县</t>
  </si>
  <si>
    <t>梅河口市</t>
  </si>
  <si>
    <t>集安市</t>
  </si>
  <si>
    <t>白山市</t>
  </si>
  <si>
    <t>江源区</t>
  </si>
  <si>
    <t>抚松县</t>
  </si>
  <si>
    <t>靖字县</t>
  </si>
  <si>
    <t>长白县</t>
  </si>
  <si>
    <t>临江市</t>
  </si>
  <si>
    <t>松原市</t>
  </si>
  <si>
    <t>前郭县</t>
  </si>
  <si>
    <t>长岭县</t>
  </si>
  <si>
    <t>乾安县</t>
  </si>
  <si>
    <t>扶余市</t>
  </si>
  <si>
    <t>白城市</t>
  </si>
  <si>
    <t>镇赉县</t>
  </si>
  <si>
    <t>通榆县</t>
  </si>
  <si>
    <t>洮南市</t>
  </si>
  <si>
    <t>大安市</t>
  </si>
  <si>
    <t>延吉市</t>
  </si>
  <si>
    <t>图们市</t>
  </si>
  <si>
    <t>敦化市</t>
  </si>
  <si>
    <t>难眷市</t>
  </si>
  <si>
    <t>龙井市</t>
  </si>
  <si>
    <t>和龙市</t>
  </si>
  <si>
    <t>汪清县</t>
  </si>
  <si>
    <t>安图县</t>
  </si>
  <si>
    <t>长白山管委会</t>
  </si>
  <si>
    <t>档次</t>
  </si>
  <si>
    <t>年缴费金额</t>
  </si>
  <si>
    <t>缴费基数</t>
  </si>
  <si>
    <t>一档（60%)</t>
  </si>
  <si>
    <t>二档（80%)</t>
  </si>
  <si>
    <t>三档（100%)</t>
  </si>
  <si>
    <t>四档（110%)</t>
  </si>
  <si>
    <t>五档（120%)</t>
  </si>
  <si>
    <t>六档（140%）</t>
  </si>
  <si>
    <t>七档（160%)</t>
  </si>
  <si>
    <t>八档（180%)</t>
  </si>
  <si>
    <t>九档（200%)</t>
  </si>
  <si>
    <t>十档（220%）</t>
  </si>
  <si>
    <t>十一档（240%）</t>
  </si>
  <si>
    <t>十二档（260%)</t>
  </si>
  <si>
    <t>十三档（280%)</t>
  </si>
  <si>
    <t>十四档（300%)</t>
  </si>
  <si>
    <t xml:space="preserve">在职死亡清算公式？ 
答：清算金额=个人账户储存额+丧葬补助金（1200元）+抚恤金 
（1）缴费满15年及以上的=个人账户储存额+1200元+（死亡上年度在岗职工平均工资工资*40%*10个月） 
（2）缴费不满15年的=个人账户储存额+1200元+（死亡上年度在岗职工平均工资工资*40%*10个月）*缴费年限/15 </t>
  </si>
  <si>
    <t>15年及以上</t>
  </si>
  <si>
    <t>不满15年</t>
  </si>
  <si>
    <t>丧葬费补助金</t>
  </si>
  <si>
    <t>个人账户储存额</t>
  </si>
  <si>
    <t>2023平均工资</t>
  </si>
  <si>
    <t>死亡上年度在岗职工平均工资工资*40%*10个月</t>
  </si>
  <si>
    <t>死亡上年度在岗职工平均工资工资*40%*10个月*缴费年限/15</t>
  </si>
  <si>
    <t>最终</t>
  </si>
  <si>
    <t>缴费年限换算月</t>
  </si>
  <si>
    <t>可领取月</t>
  </si>
  <si>
    <t>缴费月</t>
  </si>
  <si>
    <t>合计年</t>
  </si>
  <si>
    <t>个人账户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</si>
</sst>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  <numFmt numFmtId="179" formatCode="0.0_ "/>
    <numFmt numFmtId="180" formatCode="0.000_ "/>
  </numFmts>
  <fonts count="43">
    <font>
      <sz val="11"/>
      <color theme="1"/>
      <name val="宋体"/>
      <charset val="134"/>
      <scheme val="minor"/>
    </font>
    <font>
      <sz val="12"/>
      <color rgb="FF000000"/>
      <name val="微软雅黑"/>
      <family val="2"/>
      <charset val="134"/>
    </font>
    <font>
      <sz val="12"/>
      <color rgb="FFFF0000"/>
      <name val="Calibri"/>
      <family val="2"/>
      <charset val="0"/>
    </font>
    <font>
      <sz val="12"/>
      <color rgb="FFFF0000"/>
      <name val="宋体"/>
      <charset val="134"/>
    </font>
    <font>
      <sz val="12"/>
      <color rgb="FF000000"/>
      <name val="Calibri"/>
      <family val="2"/>
      <charset val="0"/>
    </font>
    <font>
      <sz val="12"/>
      <color theme="1"/>
      <name val="微软雅黑"/>
      <family val="2"/>
      <charset val="134"/>
    </font>
    <font>
      <b/>
      <sz val="36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12"/>
      <color rgb="FF002060"/>
      <name val="微软雅黑"/>
      <family val="2"/>
      <charset val="134"/>
    </font>
    <font>
      <b/>
      <sz val="12"/>
      <color theme="9" tint="-0.499984740745262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12"/>
      <color theme="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26"/>
      <color rgb="FFFF0000"/>
      <name val="微软雅黑"/>
      <family val="2"/>
      <charset val="134"/>
    </font>
    <font>
      <sz val="11"/>
      <color theme="0" tint="-0.249977111117893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b/>
      <sz val="14"/>
      <color theme="0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sz val="12"/>
      <color theme="0" tint="-0.249977111117893"/>
      <name val="微软雅黑"/>
      <family val="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32" fillId="11" borderId="19" applyNumberFormat="0" applyAlignment="0" applyProtection="0">
      <alignment vertical="center"/>
    </xf>
    <xf numFmtId="0" fontId="33" fillId="11" borderId="18" applyNumberFormat="0" applyAlignment="0" applyProtection="0">
      <alignment vertical="center"/>
    </xf>
    <xf numFmtId="0" fontId="34" fillId="12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9" fontId="7" fillId="2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10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0" fontId="5" fillId="4" borderId="2" xfId="0" applyNumberFormat="1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79" fontId="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2" fillId="5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80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4" fillId="6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31" fontId="15" fillId="0" borderId="2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31" fontId="13" fillId="6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76" fontId="13" fillId="6" borderId="2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177" fontId="14" fillId="0" borderId="2" xfId="0" applyNumberFormat="1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177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10" fontId="13" fillId="6" borderId="2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9" fillId="7" borderId="3" xfId="0" applyFont="1" applyFill="1" applyBorder="1" applyAlignment="1">
      <alignment horizontal="right" vertical="center"/>
    </xf>
    <xf numFmtId="0" fontId="19" fillId="7" borderId="12" xfId="0" applyFont="1" applyFill="1" applyBorder="1" applyAlignment="1">
      <alignment horizontal="right" vertical="center"/>
    </xf>
    <xf numFmtId="176" fontId="20" fillId="8" borderId="2" xfId="0" applyNumberFormat="1" applyFont="1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974706"/>
      <color rgb="00002060"/>
      <color rgb="00FFC000"/>
      <color rgb="00FCD5B4"/>
      <color rgb="00BFBFBF"/>
      <color rgb="004BACC6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115570</xdr:colOff>
      <xdr:row>0</xdr:row>
      <xdr:rowOff>1270</xdr:rowOff>
    </xdr:from>
    <xdr:to>
      <xdr:col>7</xdr:col>
      <xdr:colOff>1015365</xdr:colOff>
      <xdr:row>21</xdr:row>
      <xdr:rowOff>80645</xdr:rowOff>
    </xdr:to>
    <xdr:pic>
      <xdr:nvPicPr>
        <xdr:cNvPr id="164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16590" y="1270"/>
          <a:ext cx="4233545" cy="6010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zoomScale="145" zoomScaleNormal="145" workbookViewId="0">
      <selection activeCell="C8" sqref="C8"/>
    </sheetView>
  </sheetViews>
  <sheetFormatPr defaultColWidth="9" defaultRowHeight="13.5"/>
  <cols>
    <col min="1" max="1" width="33.7" customWidth="1"/>
    <col min="2" max="2" width="9.60833333333333" customWidth="1"/>
    <col min="3" max="3" width="17" style="1" customWidth="1"/>
    <col min="4" max="4" width="80.125" customWidth="1"/>
    <col min="6" max="6" width="21.25" customWidth="1"/>
    <col min="7" max="7" width="13.5" customWidth="1"/>
    <col min="8" max="8" width="26.5" customWidth="1"/>
    <col min="9" max="9" width="20.125" customWidth="1"/>
  </cols>
  <sheetData>
    <row r="1" ht="27" customHeight="1" spans="1:8">
      <c r="A1" s="82" t="s">
        <v>0</v>
      </c>
      <c r="B1" s="83"/>
      <c r="C1" s="84" t="s">
        <v>1</v>
      </c>
      <c r="D1" s="85" t="s">
        <v>2</v>
      </c>
      <c r="E1" s="86"/>
      <c r="F1" s="86"/>
      <c r="G1" s="86"/>
      <c r="H1" s="86"/>
    </row>
    <row r="2" s="81" customFormat="1" ht="22" customHeight="1" spans="1:9">
      <c r="A2" s="87" t="s">
        <v>3</v>
      </c>
      <c r="B2" s="88"/>
      <c r="C2" s="89">
        <v>50</v>
      </c>
      <c r="D2" s="90" t="s">
        <v>4</v>
      </c>
      <c r="E2" s="91" t="s">
        <v>5</v>
      </c>
      <c r="F2" s="86"/>
      <c r="G2" s="86"/>
      <c r="H2" s="86"/>
      <c r="I2" s="141"/>
    </row>
    <row r="3" s="81" customFormat="1" ht="22" customHeight="1" spans="1:8">
      <c r="A3" s="92" t="s">
        <v>6</v>
      </c>
      <c r="B3" s="93"/>
      <c r="C3" s="94">
        <v>34881</v>
      </c>
      <c r="D3" s="95" t="s">
        <v>7</v>
      </c>
      <c r="E3" s="96"/>
      <c r="F3" s="86"/>
      <c r="G3" s="86"/>
      <c r="H3" s="86"/>
    </row>
    <row r="4" s="81" customFormat="1" ht="22" customHeight="1" spans="1:8">
      <c r="A4" s="82" t="s">
        <v>8</v>
      </c>
      <c r="B4" s="83"/>
      <c r="C4" s="97">
        <v>33604</v>
      </c>
      <c r="D4" s="98" t="s">
        <v>9</v>
      </c>
      <c r="E4" s="99"/>
      <c r="F4" s="86"/>
      <c r="G4" s="86"/>
      <c r="H4" s="86"/>
    </row>
    <row r="5" s="81" customFormat="1" ht="22" customHeight="1" spans="1:8">
      <c r="A5" s="100" t="s">
        <v>6</v>
      </c>
      <c r="B5" s="101"/>
      <c r="C5" s="102">
        <f>DATEDIF(C4,C3,"D")/365%*1%</f>
        <v>3.4986301369863</v>
      </c>
      <c r="D5" s="103" t="s">
        <v>10</v>
      </c>
      <c r="E5" s="99"/>
      <c r="F5" s="99"/>
      <c r="G5" s="99"/>
      <c r="H5" s="99"/>
    </row>
    <row r="6" s="81" customFormat="1" ht="22" customHeight="1" spans="1:8">
      <c r="A6" s="87" t="s">
        <v>11</v>
      </c>
      <c r="B6" s="88"/>
      <c r="C6" s="104">
        <v>26.92</v>
      </c>
      <c r="D6" s="105"/>
      <c r="E6" s="99"/>
      <c r="F6" s="99"/>
      <c r="G6" s="99"/>
      <c r="H6" s="99"/>
    </row>
    <row r="7" s="81" customFormat="1" ht="22" customHeight="1" spans="1:8">
      <c r="A7" s="87" t="s">
        <v>12</v>
      </c>
      <c r="B7" s="88"/>
      <c r="C7" s="106">
        <f>SUM(C5:C6)</f>
        <v>30.4186301369863</v>
      </c>
      <c r="D7" s="107" t="s">
        <v>13</v>
      </c>
      <c r="E7" s="99"/>
      <c r="F7" s="99"/>
      <c r="G7" s="99"/>
      <c r="H7" s="99"/>
    </row>
    <row r="8" s="81" customFormat="1" ht="22" customHeight="1" spans="1:8">
      <c r="A8" s="100" t="s">
        <v>14</v>
      </c>
      <c r="B8" s="101"/>
      <c r="C8" s="108">
        <v>69158.04</v>
      </c>
      <c r="D8" s="109"/>
      <c r="E8" s="99"/>
      <c r="F8" s="99"/>
      <c r="G8" s="99"/>
      <c r="H8"/>
    </row>
    <row r="9" s="81" customFormat="1" ht="22" customHeight="1" spans="1:8">
      <c r="A9" s="87" t="s">
        <v>15</v>
      </c>
      <c r="B9" s="88"/>
      <c r="C9" s="108">
        <v>0.63</v>
      </c>
      <c r="D9" s="90" t="s">
        <v>16</v>
      </c>
      <c r="E9" s="99"/>
      <c r="F9" s="110" t="s">
        <v>17</v>
      </c>
      <c r="G9" s="99"/>
      <c r="H9" s="99"/>
    </row>
    <row r="10" s="81" customFormat="1" ht="22" customHeight="1" spans="1:8">
      <c r="A10" s="111" t="s">
        <v>18</v>
      </c>
      <c r="B10" s="112" t="s">
        <v>19</v>
      </c>
      <c r="C10" s="113">
        <f ca="1">VLOOKUP(B10,吉林省2022年企业职工基本养老金计发基数!B:C,2,FALSE)</f>
        <v>79242</v>
      </c>
      <c r="D10" s="114" t="s">
        <v>20</v>
      </c>
      <c r="E10" s="99"/>
      <c r="F10" s="99"/>
      <c r="G10" s="99"/>
      <c r="H10" s="99"/>
    </row>
    <row r="11" s="81" customFormat="1" ht="22" customHeight="1" spans="1:8">
      <c r="A11" s="111" t="s">
        <v>21</v>
      </c>
      <c r="B11" s="112" t="s">
        <v>22</v>
      </c>
      <c r="C11" s="113">
        <f ca="1">VLOOKUP(B11,吉林省2022年企业职工基本养老金计发基数!B:C,2,FALSE)</f>
        <v>91251</v>
      </c>
      <c r="D11" s="114" t="s">
        <v>20</v>
      </c>
      <c r="E11" s="99"/>
      <c r="F11" s="115"/>
      <c r="G11" s="116"/>
      <c r="H11" s="116"/>
    </row>
    <row r="12" s="81" customFormat="1" ht="22" customHeight="1" spans="1:8">
      <c r="A12" s="117" t="s">
        <v>23</v>
      </c>
      <c r="B12" s="118"/>
      <c r="C12" s="119">
        <f ca="1">C10/12</f>
        <v>6603.5</v>
      </c>
      <c r="D12" s="120" t="s">
        <v>20</v>
      </c>
      <c r="E12" s="99"/>
      <c r="F12" s="115"/>
      <c r="G12" s="116"/>
      <c r="H12" s="116"/>
    </row>
    <row r="13" s="81" customFormat="1" ht="22" customHeight="1" spans="1:8">
      <c r="A13" s="117" t="s">
        <v>24</v>
      </c>
      <c r="B13" s="118"/>
      <c r="C13" s="119">
        <f ca="1">C11/12</f>
        <v>7604.25</v>
      </c>
      <c r="D13" s="120" t="s">
        <v>20</v>
      </c>
      <c r="E13" s="99"/>
      <c r="F13" s="115"/>
      <c r="G13" s="116"/>
      <c r="H13" s="116"/>
    </row>
    <row r="14" s="81" customFormat="1" ht="22" customHeight="1" spans="1:8">
      <c r="A14" s="121" t="s">
        <v>25</v>
      </c>
      <c r="B14" s="122"/>
      <c r="C14" s="123">
        <v>0.014</v>
      </c>
      <c r="D14" s="109"/>
      <c r="E14" s="99"/>
      <c r="F14" s="116"/>
      <c r="G14" s="116"/>
      <c r="H14" s="116"/>
    </row>
    <row r="15" s="81" customFormat="1" ht="22" customHeight="1" spans="1:8">
      <c r="A15" s="124" t="s">
        <v>26</v>
      </c>
      <c r="B15" s="125"/>
      <c r="C15" s="126">
        <f ca="1">Sheet1!F25</f>
        <v>107.878118466986</v>
      </c>
      <c r="D15" s="127" t="s">
        <v>27</v>
      </c>
      <c r="E15" s="99"/>
      <c r="F15" s="116"/>
      <c r="G15" s="116"/>
      <c r="H15" s="116"/>
    </row>
    <row r="16" s="81" customFormat="1" ht="22" customHeight="1" spans="1:8">
      <c r="A16" s="100" t="s">
        <v>28</v>
      </c>
      <c r="B16" s="101"/>
      <c r="C16" s="104">
        <f>C5*12%</f>
        <v>0.419835616438356</v>
      </c>
      <c r="D16" s="128"/>
      <c r="E16" s="99"/>
      <c r="F16" s="116"/>
      <c r="G16" s="116"/>
      <c r="H16" s="116"/>
    </row>
    <row r="17" s="81" customFormat="1" ht="22" customHeight="1" spans="1:8">
      <c r="A17" s="129" t="s">
        <v>29</v>
      </c>
      <c r="B17" s="130"/>
      <c r="C17" s="131">
        <f ca="1">Sheet1!G42</f>
        <v>2455.7583843516</v>
      </c>
      <c r="D17" s="128"/>
      <c r="E17" s="99"/>
      <c r="F17" s="116"/>
      <c r="G17" s="116"/>
      <c r="H17" s="116"/>
    </row>
    <row r="18" s="81" customFormat="1" ht="22" customHeight="1" spans="1:8">
      <c r="A18" s="99"/>
      <c r="B18" s="99"/>
      <c r="C18" s="96"/>
      <c r="D18" s="99"/>
      <c r="E18" s="99"/>
      <c r="F18" s="116"/>
      <c r="G18" s="116"/>
      <c r="H18" s="116"/>
    </row>
    <row r="19" s="81" customFormat="1" ht="22" customHeight="1" spans="1:8">
      <c r="A19" s="110" t="s">
        <v>30</v>
      </c>
      <c r="B19" s="110"/>
      <c r="C19" s="132">
        <f ca="1">C8/C17/12</f>
        <v>2.34679846222806</v>
      </c>
      <c r="D19" s="99"/>
      <c r="E19" s="99"/>
      <c r="F19" s="99"/>
      <c r="G19" s="99"/>
      <c r="H19" s="99"/>
    </row>
    <row r="20" s="81" customFormat="1" ht="22" customHeight="1" spans="1:8">
      <c r="A20" s="133" t="s">
        <v>31</v>
      </c>
      <c r="B20" s="133"/>
      <c r="C20" s="134"/>
      <c r="D20" s="134"/>
      <c r="E20" s="99"/>
      <c r="F20" s="99"/>
      <c r="G20" s="99"/>
      <c r="H20" s="99"/>
    </row>
    <row r="21" s="81" customFormat="1" ht="22" customHeight="1" spans="1:8">
      <c r="A21" s="134"/>
      <c r="B21" s="134"/>
      <c r="C21" s="134"/>
      <c r="D21" s="134"/>
      <c r="E21" s="99"/>
      <c r="F21" s="99"/>
      <c r="G21" s="99"/>
      <c r="H21" s="99"/>
    </row>
    <row r="22" s="81" customFormat="1" ht="22" customHeight="1" spans="3:3">
      <c r="C22" s="135"/>
    </row>
    <row r="23" s="81" customFormat="1" ht="22" customHeight="1" spans="3:3">
      <c r="C23" s="135"/>
    </row>
    <row r="24" s="81" customFormat="1" ht="22" customHeight="1" spans="1:4">
      <c r="A24" s="136" t="s">
        <v>32</v>
      </c>
      <c r="B24" s="137"/>
      <c r="C24" s="137"/>
      <c r="D24" s="137"/>
    </row>
    <row r="25" s="81" customFormat="1" ht="22" customHeight="1" spans="1:4">
      <c r="A25" s="137"/>
      <c r="B25" s="137"/>
      <c r="C25" s="137"/>
      <c r="D25" s="137"/>
    </row>
    <row r="26" s="81" customFormat="1" ht="22" customHeight="1" spans="1:4">
      <c r="A26" s="137"/>
      <c r="B26" s="137"/>
      <c r="C26" s="137"/>
      <c r="D26" s="137"/>
    </row>
    <row r="27" s="81" customFormat="1" ht="22" customHeight="1" spans="1:4">
      <c r="A27" s="137"/>
      <c r="B27" s="137"/>
      <c r="C27" s="137"/>
      <c r="D27" s="137"/>
    </row>
    <row r="28" s="81" customFormat="1" ht="22" customHeight="1" spans="3:3">
      <c r="C28" s="135"/>
    </row>
    <row r="29" s="81" customFormat="1" ht="22" customHeight="1" spans="3:3">
      <c r="C29" s="138"/>
    </row>
    <row r="30" s="81" customFormat="1" ht="22" customHeight="1" spans="3:4">
      <c r="C30" s="135"/>
      <c r="D30" s="139"/>
    </row>
    <row r="31" s="81" customFormat="1" ht="22" customHeight="1" spans="3:3">
      <c r="C31" s="135"/>
    </row>
    <row r="32" s="81" customFormat="1" ht="22" customHeight="1" spans="3:3">
      <c r="C32" s="135"/>
    </row>
    <row r="33" s="81" customFormat="1" ht="22" customHeight="1" spans="3:4">
      <c r="C33" s="135"/>
      <c r="D33" s="139"/>
    </row>
    <row r="34" s="81" customFormat="1" ht="22" customHeight="1" spans="3:4">
      <c r="C34" s="135"/>
      <c r="D34" s="139"/>
    </row>
    <row r="35" s="81" customFormat="1" ht="22" customHeight="1" spans="3:3">
      <c r="C35" s="135"/>
    </row>
    <row r="36" s="81" customFormat="1" ht="22" customHeight="1" spans="3:3">
      <c r="C36" s="135"/>
    </row>
    <row r="41" spans="4:4">
      <c r="D41" s="140"/>
    </row>
  </sheetData>
  <sheetCalcPr fullCalcOnLoad="1"/>
  <mergeCells count="21"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2:B12"/>
    <mergeCell ref="A13:B13"/>
    <mergeCell ref="A14:B14"/>
    <mergeCell ref="A15:B15"/>
    <mergeCell ref="A16:B16"/>
    <mergeCell ref="A17:B17"/>
    <mergeCell ref="A18:B18"/>
    <mergeCell ref="A19:B19"/>
    <mergeCell ref="D5:D6"/>
    <mergeCell ref="A20:D21"/>
    <mergeCell ref="F11:H18"/>
    <mergeCell ref="A24:D27"/>
  </mergeCells>
  <dataValidations count="2">
    <dataValidation type="list" allowBlank="1" showInputMessage="1" showErrorMessage="1" sqref="C14">
      <formula1>"0,1.2%,1.4%"</formula1>
    </dataValidation>
    <dataValidation type="list" allowBlank="1" showInputMessage="1" showErrorMessage="1" sqref="B10:B11">
      <formula1>吉林省2022年企业职工基本养老金计发基数!$B:$B</formula1>
    </dataValidation>
  </dataValidations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3"/>
  <sheetViews>
    <sheetView tabSelected="1" zoomScale="70" zoomScaleNormal="70" workbookViewId="0">
      <selection activeCell="C23" sqref="C23"/>
    </sheetView>
  </sheetViews>
  <sheetFormatPr defaultColWidth="9" defaultRowHeight="17.25"/>
  <cols>
    <col min="1" max="1" width="9" style="19"/>
    <col min="2" max="2" width="12.75" style="19" customWidth="1"/>
    <col min="3" max="3" width="20.7083333333333" style="19" customWidth="1"/>
    <col min="4" max="4" width="20.5" style="19" customWidth="1"/>
    <col min="5" max="5" width="25.625" style="19" customWidth="1"/>
    <col min="6" max="6" width="15.375" style="19"/>
    <col min="7" max="7" width="17.375" style="19"/>
    <col min="8" max="8" width="13.625" style="19" customWidth="1"/>
    <col min="9" max="9" width="9.375" style="19"/>
    <col min="10" max="11" width="9" style="19"/>
    <col min="12" max="12" width="18.625" style="19" customWidth="1"/>
    <col min="13" max="13" width="13.375" style="19" customWidth="1"/>
    <col min="14" max="14" width="24.625" style="19" customWidth="1"/>
    <col min="15" max="15" width="12.625" style="19"/>
    <col min="16" max="19" width="9" style="19"/>
    <col min="20" max="20" width="14.75" style="19" customWidth="1"/>
    <col min="21" max="21" width="14.25" style="19" customWidth="1"/>
    <col min="22" max="22" width="15.375" style="19"/>
    <col min="23" max="16384" width="9" style="19"/>
  </cols>
  <sheetData>
    <row r="1" ht="96.95" customHeight="1" spans="2:2">
      <c r="B1" s="20" t="s">
        <v>33</v>
      </c>
    </row>
    <row r="2" ht="35.1" customHeight="1" spans="3:31">
      <c r="C2" s="19" t="s">
        <v>34</v>
      </c>
      <c r="X2" s="65" t="s">
        <v>35</v>
      </c>
      <c r="Y2" s="71"/>
      <c r="Z2" s="71"/>
      <c r="AA2" s="71"/>
      <c r="AB2" s="71"/>
      <c r="AC2" s="71"/>
      <c r="AD2" s="71"/>
      <c r="AE2" s="72"/>
    </row>
    <row r="3" ht="35.1" customHeight="1" spans="2:31">
      <c r="B3" s="21" t="s">
        <v>36</v>
      </c>
      <c r="C3" s="22">
        <f>测算重点数据说明!C3</f>
        <v>34881</v>
      </c>
      <c r="D3" s="21" t="s">
        <v>37</v>
      </c>
      <c r="E3" s="21">
        <f>测算重点数据说明!C4</f>
        <v>33604</v>
      </c>
      <c r="F3" s="21" t="s">
        <v>38</v>
      </c>
      <c r="G3" s="21"/>
      <c r="H3" s="23">
        <f>测算重点数据说明!C5</f>
        <v>3.4986301369863</v>
      </c>
      <c r="I3" s="55"/>
      <c r="J3" s="56"/>
      <c r="K3" s="56"/>
      <c r="L3" s="56"/>
      <c r="M3" s="56"/>
      <c r="N3" s="25"/>
      <c r="X3" s="66" t="s">
        <v>39</v>
      </c>
      <c r="Y3" s="64"/>
      <c r="Z3" s="64"/>
      <c r="AA3" s="64"/>
      <c r="AB3" s="64"/>
      <c r="AC3" s="64"/>
      <c r="AD3" s="64"/>
      <c r="AE3" s="73"/>
    </row>
    <row r="4" ht="35.1" customHeight="1" spans="2:31">
      <c r="B4" s="21" t="s">
        <v>40</v>
      </c>
      <c r="C4" s="22" t="e">
        <f>测算重点数据说明!#REF!</f>
        <v>#REF!</v>
      </c>
      <c r="D4" s="21" t="s">
        <v>41</v>
      </c>
      <c r="E4" s="21">
        <f>测算重点数据说明!C4</f>
        <v>33604</v>
      </c>
      <c r="F4" s="21" t="s">
        <v>42</v>
      </c>
      <c r="G4" s="21"/>
      <c r="H4" s="24">
        <f>测算重点数据说明!C6</f>
        <v>26.92</v>
      </c>
      <c r="I4" s="55"/>
      <c r="J4" s="56"/>
      <c r="K4" s="56"/>
      <c r="L4" s="56"/>
      <c r="M4" s="56"/>
      <c r="N4" s="25"/>
      <c r="X4" s="66"/>
      <c r="Y4" s="64"/>
      <c r="Z4" s="64"/>
      <c r="AA4" s="64"/>
      <c r="AB4" s="64"/>
      <c r="AC4" s="64"/>
      <c r="AD4" s="64"/>
      <c r="AE4" s="73"/>
    </row>
    <row r="5" ht="35.1" customHeight="1" spans="2:31">
      <c r="B5" s="21" t="s">
        <v>3</v>
      </c>
      <c r="C5" s="22">
        <f>测算重点数据说明!C2</f>
        <v>50</v>
      </c>
      <c r="D5" s="25"/>
      <c r="E5" s="25"/>
      <c r="F5" s="21" t="s">
        <v>12</v>
      </c>
      <c r="G5" s="21"/>
      <c r="H5" s="23">
        <f>测算重点数据说明!C7</f>
        <v>30.4186301369863</v>
      </c>
      <c r="I5" s="55"/>
      <c r="J5" s="56"/>
      <c r="K5" s="56"/>
      <c r="L5" s="56"/>
      <c r="M5" s="56"/>
      <c r="N5" s="25"/>
      <c r="X5" s="66"/>
      <c r="Y5" s="64"/>
      <c r="Z5" s="64"/>
      <c r="AA5" s="64"/>
      <c r="AB5" s="64"/>
      <c r="AC5" s="64"/>
      <c r="AD5" s="64"/>
      <c r="AE5" s="73"/>
    </row>
    <row r="6" ht="35.1" customHeight="1" spans="2:31">
      <c r="B6" s="25"/>
      <c r="C6" s="25"/>
      <c r="D6" s="26" t="s">
        <v>43</v>
      </c>
      <c r="E6" s="26" t="s">
        <v>22</v>
      </c>
      <c r="F6" s="21" t="s">
        <v>14</v>
      </c>
      <c r="G6" s="21"/>
      <c r="H6" s="24">
        <f>测算重点数据说明!C8</f>
        <v>69158.04</v>
      </c>
      <c r="I6" s="57"/>
      <c r="J6" s="58"/>
      <c r="K6" s="58"/>
      <c r="L6" s="58"/>
      <c r="M6" s="58"/>
      <c r="N6" s="25"/>
      <c r="X6" s="67"/>
      <c r="Y6" s="74"/>
      <c r="Z6" s="74"/>
      <c r="AA6" s="74"/>
      <c r="AB6" s="74"/>
      <c r="AC6" s="74"/>
      <c r="AD6" s="74"/>
      <c r="AE6" s="75"/>
    </row>
    <row r="7" ht="35.1" customHeight="1" spans="2:31">
      <c r="B7" s="21" t="s">
        <v>44</v>
      </c>
      <c r="C7" s="24"/>
      <c r="D7" s="21">
        <f ca="1">测算重点数据说明!C10</f>
        <v>79242</v>
      </c>
      <c r="E7" s="21">
        <f ca="1">测算重点数据说明!C11</f>
        <v>91251</v>
      </c>
      <c r="F7" s="21" t="s">
        <v>35</v>
      </c>
      <c r="G7" s="21"/>
      <c r="H7" s="24">
        <f>测算重点数据说明!C9</f>
        <v>0.63</v>
      </c>
      <c r="I7" s="57"/>
      <c r="J7" s="58"/>
      <c r="K7" s="58"/>
      <c r="L7" s="58"/>
      <c r="M7" s="58"/>
      <c r="N7" s="25"/>
      <c r="X7" s="68"/>
      <c r="Z7" s="19" t="s">
        <v>45</v>
      </c>
      <c r="AA7" s="19" t="s">
        <v>46</v>
      </c>
      <c r="AB7" s="19" t="s">
        <v>45</v>
      </c>
      <c r="AC7" s="19" t="s">
        <v>47</v>
      </c>
      <c r="AD7" s="19" t="s">
        <v>35</v>
      </c>
      <c r="AE7" s="76"/>
    </row>
    <row r="8" ht="35.1" customHeight="1" spans="2:3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X8" s="69" t="s">
        <v>48</v>
      </c>
      <c r="Y8" s="19">
        <v>2015</v>
      </c>
      <c r="Z8" s="77" t="s">
        <v>49</v>
      </c>
      <c r="AA8" s="77">
        <v>2800</v>
      </c>
      <c r="AB8" s="77" t="s">
        <v>50</v>
      </c>
      <c r="AC8" s="77">
        <v>33000</v>
      </c>
      <c r="AD8" s="19" t="s">
        <v>51</v>
      </c>
      <c r="AE8" s="78">
        <f t="shared" ref="AE8:AE15" si="0">AA8/AC8</f>
        <v>0.0848484848484849</v>
      </c>
      <c r="AF8" s="19">
        <v>1</v>
      </c>
    </row>
    <row r="9" ht="35.1" customHeight="1" spans="2:32">
      <c r="B9" s="21" t="s">
        <v>52</v>
      </c>
      <c r="C9" s="21"/>
      <c r="D9" s="21"/>
      <c r="E9" s="21"/>
      <c r="F9" s="21"/>
      <c r="G9" s="21"/>
      <c r="H9" s="21"/>
      <c r="I9" s="21"/>
      <c r="J9" s="25"/>
      <c r="K9" s="25"/>
      <c r="L9" s="25"/>
      <c r="M9" s="25"/>
      <c r="N9" s="25"/>
      <c r="X9" s="68"/>
      <c r="Y9" s="19">
        <v>2016</v>
      </c>
      <c r="Z9" s="77" t="s">
        <v>53</v>
      </c>
      <c r="AA9" s="77">
        <v>2800</v>
      </c>
      <c r="AB9" s="77" t="s">
        <v>54</v>
      </c>
      <c r="AC9" s="19">
        <v>35465</v>
      </c>
      <c r="AD9" s="19" t="s">
        <v>51</v>
      </c>
      <c r="AE9" s="78">
        <f t="shared" si="0"/>
        <v>0.0789510785281263</v>
      </c>
      <c r="AF9" s="19">
        <v>2</v>
      </c>
    </row>
    <row r="10" ht="35.1" customHeight="1" spans="2:32">
      <c r="B10" s="25" t="s">
        <v>55</v>
      </c>
      <c r="C10" s="25"/>
      <c r="D10" s="25"/>
      <c r="E10" s="25"/>
      <c r="F10" s="25">
        <f ca="1">E7</f>
        <v>91251</v>
      </c>
      <c r="G10" s="25">
        <v>12</v>
      </c>
      <c r="H10" s="25">
        <f ca="1">F10/G10</f>
        <v>7604.25</v>
      </c>
      <c r="I10" s="59"/>
      <c r="J10" s="25"/>
      <c r="K10" s="25"/>
      <c r="L10" s="25"/>
      <c r="M10" s="25"/>
      <c r="N10" s="25"/>
      <c r="X10" s="68"/>
      <c r="Y10" s="19">
        <v>2017</v>
      </c>
      <c r="Z10" s="77" t="s">
        <v>56</v>
      </c>
      <c r="AA10" s="77">
        <v>2900</v>
      </c>
      <c r="AB10" s="77" t="s">
        <v>57</v>
      </c>
      <c r="AC10" s="19">
        <v>35466</v>
      </c>
      <c r="AD10" s="19" t="s">
        <v>51</v>
      </c>
      <c r="AE10" s="78">
        <f t="shared" si="0"/>
        <v>0.0817684542942537</v>
      </c>
      <c r="AF10" s="19">
        <v>3</v>
      </c>
    </row>
    <row r="11" ht="35.1" customHeight="1" spans="2:32">
      <c r="B11" s="25" t="s">
        <v>58</v>
      </c>
      <c r="C11" s="25"/>
      <c r="D11" s="25"/>
      <c r="E11" s="25"/>
      <c r="F11" s="25">
        <f ca="1">D7</f>
        <v>79242</v>
      </c>
      <c r="G11" s="25">
        <v>12</v>
      </c>
      <c r="H11" s="25">
        <f ca="1">F11/G11</f>
        <v>6603.5</v>
      </c>
      <c r="I11" s="59"/>
      <c r="J11" s="25"/>
      <c r="K11" s="25"/>
      <c r="L11" s="25"/>
      <c r="M11" s="25"/>
      <c r="N11" s="25"/>
      <c r="X11" s="68"/>
      <c r="Y11" s="19">
        <v>2018</v>
      </c>
      <c r="Z11" s="77" t="s">
        <v>59</v>
      </c>
      <c r="AA11" s="77">
        <v>2900</v>
      </c>
      <c r="AB11" s="77" t="s">
        <v>60</v>
      </c>
      <c r="AC11" s="19">
        <v>35467</v>
      </c>
      <c r="AD11" s="19" t="s">
        <v>51</v>
      </c>
      <c r="AE11" s="78">
        <f t="shared" si="0"/>
        <v>0.0817661488143908</v>
      </c>
      <c r="AF11" s="19">
        <v>4</v>
      </c>
    </row>
    <row r="12" ht="35.1" customHeight="1" spans="1:32">
      <c r="A12" s="27" t="s">
        <v>61</v>
      </c>
      <c r="B12" s="28" t="s">
        <v>62</v>
      </c>
      <c r="C12" s="21">
        <v>1</v>
      </c>
      <c r="D12" s="21" t="s">
        <v>63</v>
      </c>
      <c r="E12" s="21"/>
      <c r="F12" s="21"/>
      <c r="G12" s="21"/>
      <c r="H12" s="21">
        <f ca="1">H10</f>
        <v>7604.25</v>
      </c>
      <c r="I12" s="21" t="s">
        <v>64</v>
      </c>
      <c r="J12" s="25"/>
      <c r="K12" s="60" t="s">
        <v>65</v>
      </c>
      <c r="L12" s="61"/>
      <c r="M12" s="61"/>
      <c r="N12" s="61"/>
      <c r="X12" s="68"/>
      <c r="Y12" s="19">
        <v>2019</v>
      </c>
      <c r="Z12" s="77" t="s">
        <v>66</v>
      </c>
      <c r="AA12" s="77">
        <v>3000</v>
      </c>
      <c r="AB12" s="77" t="s">
        <v>67</v>
      </c>
      <c r="AC12" s="19">
        <v>35468</v>
      </c>
      <c r="AD12" s="19" t="s">
        <v>51</v>
      </c>
      <c r="AE12" s="78">
        <f t="shared" si="0"/>
        <v>0.0845832863426187</v>
      </c>
      <c r="AF12" s="19">
        <v>5</v>
      </c>
    </row>
    <row r="13" ht="35.1" customHeight="1" spans="1:32">
      <c r="A13" s="27"/>
      <c r="B13" s="28"/>
      <c r="C13" s="21">
        <v>2</v>
      </c>
      <c r="D13" s="21" t="s">
        <v>68</v>
      </c>
      <c r="E13" s="21"/>
      <c r="F13" s="21"/>
      <c r="G13" s="21"/>
      <c r="H13" s="21">
        <f ca="1">H11</f>
        <v>6603.5</v>
      </c>
      <c r="I13" s="21" t="s">
        <v>64</v>
      </c>
      <c r="J13" s="25"/>
      <c r="K13" s="61"/>
      <c r="L13" s="61"/>
      <c r="M13" s="61"/>
      <c r="N13" s="61"/>
      <c r="X13" s="68"/>
      <c r="Y13" s="19">
        <v>2020</v>
      </c>
      <c r="Z13" s="77" t="s">
        <v>69</v>
      </c>
      <c r="AA13" s="19">
        <v>3200</v>
      </c>
      <c r="AB13" s="77" t="s">
        <v>70</v>
      </c>
      <c r="AC13" s="19">
        <v>35469</v>
      </c>
      <c r="AD13" s="19" t="s">
        <v>51</v>
      </c>
      <c r="AE13" s="78">
        <f t="shared" si="0"/>
        <v>0.0902196284079055</v>
      </c>
      <c r="AF13" s="19">
        <v>6</v>
      </c>
    </row>
    <row r="14" ht="35.1" customHeight="1" spans="1:32">
      <c r="A14" s="27"/>
      <c r="B14" s="28"/>
      <c r="C14" s="21">
        <v>3</v>
      </c>
      <c r="D14" s="21" t="s">
        <v>71</v>
      </c>
      <c r="E14" s="21"/>
      <c r="F14" s="21"/>
      <c r="G14" s="21"/>
      <c r="H14" s="29">
        <f>H7</f>
        <v>0.63</v>
      </c>
      <c r="I14" s="21"/>
      <c r="J14" s="25"/>
      <c r="K14" s="61"/>
      <c r="L14" s="61"/>
      <c r="M14" s="61"/>
      <c r="N14" s="61"/>
      <c r="X14" s="68"/>
      <c r="Y14" s="19">
        <v>2021</v>
      </c>
      <c r="Z14" s="77" t="s">
        <v>72</v>
      </c>
      <c r="AA14" s="19">
        <v>3300</v>
      </c>
      <c r="AB14" s="77" t="s">
        <v>73</v>
      </c>
      <c r="AC14" s="19">
        <v>35470</v>
      </c>
      <c r="AD14" s="19" t="s">
        <v>51</v>
      </c>
      <c r="AE14" s="78">
        <f t="shared" si="0"/>
        <v>0.0930363687623344</v>
      </c>
      <c r="AF14" s="19">
        <v>7</v>
      </c>
    </row>
    <row r="15" ht="35.1" customHeight="1" spans="1:32">
      <c r="A15" s="27"/>
      <c r="B15" s="28"/>
      <c r="C15" s="21">
        <v>4</v>
      </c>
      <c r="D15" s="21" t="s">
        <v>74</v>
      </c>
      <c r="E15" s="21"/>
      <c r="F15" s="21"/>
      <c r="G15" s="21"/>
      <c r="H15" s="21">
        <v>2</v>
      </c>
      <c r="I15" s="21"/>
      <c r="J15" s="25"/>
      <c r="K15" s="61"/>
      <c r="L15" s="61"/>
      <c r="M15" s="61"/>
      <c r="N15" s="61"/>
      <c r="X15" s="68"/>
      <c r="Y15" s="19">
        <v>2022</v>
      </c>
      <c r="Z15" s="77" t="s">
        <v>75</v>
      </c>
      <c r="AA15" s="19">
        <v>3500</v>
      </c>
      <c r="AB15" s="77" t="s">
        <v>76</v>
      </c>
      <c r="AC15" s="19">
        <v>35471</v>
      </c>
      <c r="AD15" s="19" t="s">
        <v>51</v>
      </c>
      <c r="AE15" s="78">
        <f t="shared" si="0"/>
        <v>0.0986721547179386</v>
      </c>
      <c r="AF15" s="19">
        <v>8</v>
      </c>
    </row>
    <row r="16" ht="35.1" customHeight="1" spans="1:31">
      <c r="A16" s="27"/>
      <c r="B16" s="28"/>
      <c r="C16" s="21">
        <v>5</v>
      </c>
      <c r="D16" s="21" t="s">
        <v>77</v>
      </c>
      <c r="E16" s="21"/>
      <c r="F16" s="21"/>
      <c r="G16" s="21"/>
      <c r="H16" s="30">
        <v>0.01</v>
      </c>
      <c r="I16" s="21"/>
      <c r="K16" s="61"/>
      <c r="L16" s="61"/>
      <c r="M16" s="61"/>
      <c r="N16" s="61"/>
      <c r="X16" s="68"/>
      <c r="Y16" s="19" t="s">
        <v>78</v>
      </c>
      <c r="Z16" s="19" t="s">
        <v>78</v>
      </c>
      <c r="AA16" s="19" t="s">
        <v>78</v>
      </c>
      <c r="AB16" s="19" t="s">
        <v>78</v>
      </c>
      <c r="AC16" s="19" t="s">
        <v>78</v>
      </c>
      <c r="AD16" s="19" t="s">
        <v>78</v>
      </c>
      <c r="AE16" s="76" t="s">
        <v>78</v>
      </c>
    </row>
    <row r="17" ht="35.1" customHeight="1" spans="1:31">
      <c r="A17" s="27"/>
      <c r="B17" s="28"/>
      <c r="C17" s="21">
        <v>6</v>
      </c>
      <c r="D17" s="21" t="s">
        <v>79</v>
      </c>
      <c r="E17" s="21"/>
      <c r="F17" s="21"/>
      <c r="G17" s="21"/>
      <c r="H17" s="29" t="str">
        <f>TEXT(H5,"00.00")</f>
        <v>30.42</v>
      </c>
      <c r="I17" s="21" t="s">
        <v>80</v>
      </c>
      <c r="J17" s="25"/>
      <c r="K17" s="61" t="s">
        <v>81</v>
      </c>
      <c r="L17" s="61"/>
      <c r="M17" s="61"/>
      <c r="N17" s="61"/>
      <c r="X17" s="68"/>
      <c r="Y17" s="19" t="s">
        <v>35</v>
      </c>
      <c r="AD17" s="19" t="s">
        <v>82</v>
      </c>
      <c r="AE17" s="76" t="s">
        <v>83</v>
      </c>
    </row>
    <row r="18" ht="35.1" customHeight="1" spans="1:31">
      <c r="A18" s="27"/>
      <c r="B18" s="28"/>
      <c r="C18" s="21">
        <v>7</v>
      </c>
      <c r="D18" s="21" t="s">
        <v>84</v>
      </c>
      <c r="E18" s="21"/>
      <c r="F18" s="21"/>
      <c r="G18" s="21"/>
      <c r="H18" s="29">
        <f ca="1">(H12+H13*H14)/H15*H16*H17</f>
        <v>1789.3736055</v>
      </c>
      <c r="I18" s="21"/>
      <c r="J18" s="25"/>
      <c r="K18" s="61"/>
      <c r="L18" s="61"/>
      <c r="M18" s="61"/>
      <c r="N18" s="61"/>
      <c r="X18" s="70"/>
      <c r="Y18" s="79"/>
      <c r="Z18" s="79"/>
      <c r="AA18" s="79"/>
      <c r="AB18" s="79"/>
      <c r="AC18" s="79"/>
      <c r="AD18" s="79"/>
      <c r="AE18" s="80">
        <f>SUM(AE8:AE15)</f>
        <v>0.693845604716053</v>
      </c>
    </row>
    <row r="19" ht="35.1" customHeight="1" spans="1:14">
      <c r="A19" s="27"/>
      <c r="B19" s="28"/>
      <c r="C19" s="21" t="s">
        <v>85</v>
      </c>
      <c r="D19" s="21" t="s">
        <v>86</v>
      </c>
      <c r="E19" s="21"/>
      <c r="F19" s="21"/>
      <c r="G19" s="21"/>
      <c r="H19" s="21"/>
      <c r="I19" s="21"/>
      <c r="J19" s="25"/>
      <c r="K19" s="61"/>
      <c r="L19" s="61"/>
      <c r="M19" s="61"/>
      <c r="N19" s="61"/>
    </row>
    <row r="20" ht="35.1" customHeight="1" spans="4:8">
      <c r="D20" s="31">
        <f ca="1">H13*H14</f>
        <v>4160.205</v>
      </c>
      <c r="E20" s="31">
        <f ca="1">D20+H12</f>
        <v>11764.455</v>
      </c>
      <c r="F20" s="31">
        <f ca="1">E20/H15</f>
        <v>5882.2275</v>
      </c>
      <c r="G20" s="31">
        <f ca="1">F20*H16</f>
        <v>58.822275</v>
      </c>
      <c r="H20" s="31">
        <f ca="1">G20*H17</f>
        <v>1789.3736055</v>
      </c>
    </row>
    <row r="21" ht="35.1" customHeight="1"/>
    <row r="22" ht="35.1" customHeight="1" spans="1:24">
      <c r="A22" s="32" t="s">
        <v>87</v>
      </c>
      <c r="B22" s="33" t="s">
        <v>88</v>
      </c>
      <c r="C22" s="32" t="s">
        <v>12</v>
      </c>
      <c r="D22" s="32" t="s">
        <v>89</v>
      </c>
      <c r="E22" s="32" t="s">
        <v>90</v>
      </c>
      <c r="F22" s="34" t="s">
        <v>91</v>
      </c>
      <c r="G22" s="34"/>
      <c r="H22" s="34"/>
      <c r="I22" s="34"/>
      <c r="J22" s="34"/>
      <c r="K22" s="34"/>
      <c r="L22" s="34"/>
      <c r="N22" s="62" t="s">
        <v>92</v>
      </c>
      <c r="O22" s="49"/>
      <c r="P22" s="49"/>
      <c r="Q22" s="49"/>
      <c r="R22" s="49"/>
      <c r="S22" s="49"/>
      <c r="T22" s="64" t="s">
        <v>93</v>
      </c>
      <c r="U22" s="49"/>
      <c r="V22" s="49"/>
      <c r="W22" s="49"/>
      <c r="X22" s="49"/>
    </row>
    <row r="23" ht="35.1" customHeight="1" spans="1:24">
      <c r="A23" s="32"/>
      <c r="B23" s="33"/>
      <c r="C23" s="35" t="s">
        <v>94</v>
      </c>
      <c r="D23" s="36">
        <v>0.0015</v>
      </c>
      <c r="E23" s="37">
        <f ca="1">F20*D23*5</f>
        <v>44.11670625</v>
      </c>
      <c r="F23" s="34">
        <f ca="1">F20</f>
        <v>5882.2275</v>
      </c>
      <c r="G23" s="34">
        <f>D23</f>
        <v>0.0015</v>
      </c>
      <c r="H23" s="34">
        <v>5</v>
      </c>
      <c r="I23" s="63"/>
      <c r="J23" s="37" t="s">
        <v>95</v>
      </c>
      <c r="K23" s="37"/>
      <c r="L23" s="37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</row>
    <row r="24" ht="35.1" customHeight="1" spans="1:24">
      <c r="A24" s="32"/>
      <c r="B24" s="33"/>
      <c r="C24" s="38" t="s">
        <v>96</v>
      </c>
      <c r="D24" s="39">
        <v>0.002</v>
      </c>
      <c r="E24" s="40">
        <f ca="1">D24*F20*(H24+I24)</f>
        <v>63.7614122169863</v>
      </c>
      <c r="F24" s="41">
        <f ca="1">F20</f>
        <v>5882.2275</v>
      </c>
      <c r="G24" s="41">
        <f>D24</f>
        <v>0.002</v>
      </c>
      <c r="H24" s="41">
        <v>5</v>
      </c>
      <c r="I24" s="40">
        <f>测算重点数据说明!C16</f>
        <v>0.419835616438356</v>
      </c>
      <c r="J24" s="37" t="s">
        <v>97</v>
      </c>
      <c r="K24" s="37"/>
      <c r="L24" s="37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ht="35.1" customHeight="1" spans="1:24">
      <c r="A25" s="32"/>
      <c r="B25" s="33"/>
      <c r="C25" s="32" t="s">
        <v>98</v>
      </c>
      <c r="D25" s="36">
        <v>0.0025</v>
      </c>
      <c r="E25" s="31">
        <v>0</v>
      </c>
      <c r="F25" s="42">
        <f ca="1">E23+E24+E25</f>
        <v>107.878118466986</v>
      </c>
      <c r="G25" s="43">
        <f ca="1">F20*D25*(H17-30)</f>
        <v>6.17633887500002</v>
      </c>
      <c r="H25" s="44"/>
      <c r="J25" s="37" t="s">
        <v>99</v>
      </c>
      <c r="K25" s="37"/>
      <c r="L25" s="37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</row>
    <row r="26" ht="35.1" customHeight="1" spans="1:24">
      <c r="A26" s="32"/>
      <c r="B26" s="33"/>
      <c r="C26" s="32" t="s">
        <v>83</v>
      </c>
      <c r="D26" s="32" t="s">
        <v>100</v>
      </c>
      <c r="E26" s="37">
        <f ca="1">IF(F25&lt;0,,F25)</f>
        <v>107.878118466986</v>
      </c>
      <c r="F26" s="44" t="s">
        <v>101</v>
      </c>
      <c r="G26" s="44"/>
      <c r="H26" s="44"/>
      <c r="I26" s="44"/>
      <c r="J26" s="37"/>
      <c r="K26" s="37"/>
      <c r="L26" s="37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ht="35.1" customHeight="1" spans="14:16">
      <c r="N27" s="19">
        <v>15</v>
      </c>
      <c r="O27" s="19">
        <v>12</v>
      </c>
      <c r="P27" s="19">
        <f>N27*O27</f>
        <v>180</v>
      </c>
    </row>
    <row r="28" ht="35.1" customHeight="1" spans="1:18">
      <c r="A28" s="32" t="s">
        <v>102</v>
      </c>
      <c r="B28" s="45" t="s">
        <v>103</v>
      </c>
      <c r="C28" s="32" t="s">
        <v>104</v>
      </c>
      <c r="D28" s="32">
        <f>H6</f>
        <v>69158.04</v>
      </c>
      <c r="E28" s="46"/>
      <c r="H28" s="47" t="s">
        <v>105</v>
      </c>
      <c r="I28" s="49"/>
      <c r="J28" s="49"/>
      <c r="K28" s="49"/>
      <c r="L28" s="49"/>
      <c r="M28" s="49"/>
      <c r="N28" s="64" t="s">
        <v>106</v>
      </c>
      <c r="O28" s="64"/>
      <c r="P28" s="64"/>
      <c r="Q28" s="64"/>
      <c r="R28" s="64"/>
    </row>
    <row r="29" ht="35.1" customHeight="1" spans="1:18">
      <c r="A29" s="32"/>
      <c r="B29" s="45"/>
      <c r="C29" s="32" t="s">
        <v>107</v>
      </c>
      <c r="D29" s="32">
        <f>VLOOKUP(C5,个人账户养老金计发月数表!A2:B32,2,FALSE)</f>
        <v>195</v>
      </c>
      <c r="E29" s="32"/>
      <c r="F29" s="48"/>
      <c r="G29" s="48"/>
      <c r="H29" s="49"/>
      <c r="I29" s="49"/>
      <c r="J29" s="49"/>
      <c r="K29" s="49"/>
      <c r="L29" s="49"/>
      <c r="M29" s="49"/>
      <c r="N29" s="64"/>
      <c r="O29" s="64"/>
      <c r="P29" s="64"/>
      <c r="Q29" s="64"/>
      <c r="R29" s="64"/>
    </row>
    <row r="30" ht="35.1" customHeight="1" spans="1:18">
      <c r="A30" s="32"/>
      <c r="B30" s="45"/>
      <c r="C30" s="32" t="s">
        <v>84</v>
      </c>
      <c r="D30" s="43">
        <f>D28/D29</f>
        <v>354.656615384615</v>
      </c>
      <c r="E30" s="43"/>
      <c r="F30" s="48"/>
      <c r="G30" s="48"/>
      <c r="H30" s="49"/>
      <c r="I30" s="49"/>
      <c r="J30" s="49"/>
      <c r="K30" s="49"/>
      <c r="L30" s="49"/>
      <c r="M30" s="49"/>
      <c r="N30" s="64"/>
      <c r="O30" s="64"/>
      <c r="P30" s="64"/>
      <c r="Q30" s="64"/>
      <c r="R30" s="64"/>
    </row>
    <row r="31" ht="35.1" customHeight="1"/>
    <row r="32" ht="35.1" customHeight="1" spans="1:18">
      <c r="A32" s="32" t="s">
        <v>108</v>
      </c>
      <c r="B32" s="50" t="s">
        <v>109</v>
      </c>
      <c r="C32" s="32">
        <v>1</v>
      </c>
      <c r="D32" s="32" t="s">
        <v>110</v>
      </c>
      <c r="E32" s="32"/>
      <c r="F32" s="32">
        <f ca="1">H13</f>
        <v>6603.5</v>
      </c>
      <c r="H32" s="51" t="s">
        <v>111</v>
      </c>
      <c r="I32" s="49"/>
      <c r="J32" s="49"/>
      <c r="K32" s="49"/>
      <c r="L32" s="49"/>
      <c r="M32" s="49"/>
      <c r="N32" s="64" t="s">
        <v>112</v>
      </c>
      <c r="O32" s="49"/>
      <c r="P32" s="49"/>
      <c r="Q32" s="49"/>
      <c r="R32" s="49"/>
    </row>
    <row r="33" ht="35.1" customHeight="1" spans="1:18">
      <c r="A33" s="32"/>
      <c r="B33" s="50"/>
      <c r="C33" s="32">
        <v>2</v>
      </c>
      <c r="D33" s="32" t="s">
        <v>71</v>
      </c>
      <c r="E33" s="32"/>
      <c r="F33" s="32">
        <f>H14</f>
        <v>0.63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</row>
    <row r="34" ht="35.1" customHeight="1" spans="1:18">
      <c r="A34" s="32"/>
      <c r="B34" s="50"/>
      <c r="C34" s="32">
        <v>3</v>
      </c>
      <c r="D34" s="32" t="s">
        <v>113</v>
      </c>
      <c r="E34" s="32"/>
      <c r="F34" s="52" t="str">
        <f>TEXT(H3,"00.0")</f>
        <v>03.5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</row>
    <row r="35" ht="35.1" customHeight="1" spans="1:18">
      <c r="A35" s="32"/>
      <c r="B35" s="50"/>
      <c r="C35" s="32">
        <v>4</v>
      </c>
      <c r="D35" s="32" t="s">
        <v>25</v>
      </c>
      <c r="E35" s="32"/>
      <c r="F35" s="36">
        <f>测算重点数据说明!C14</f>
        <v>0.014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ht="35.1" customHeight="1" spans="1:26">
      <c r="A36" s="32"/>
      <c r="B36" s="50"/>
      <c r="C36" s="32">
        <v>5</v>
      </c>
      <c r="D36" s="32" t="s">
        <v>84</v>
      </c>
      <c r="E36" s="32"/>
      <c r="F36" s="43">
        <f ca="1">F32*F33*F34*F35</f>
        <v>203.850045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Z36"/>
    </row>
    <row r="37" ht="35.1" customHeight="1"/>
    <row r="38" ht="35.1" customHeight="1" spans="1:3">
      <c r="A38" s="32" t="s">
        <v>114</v>
      </c>
      <c r="B38" s="32" t="s">
        <v>115</v>
      </c>
      <c r="C38" s="32" t="s">
        <v>116</v>
      </c>
    </row>
    <row r="39" ht="35.1" customHeight="1" spans="1:3">
      <c r="A39" s="32"/>
      <c r="B39" s="32">
        <v>0</v>
      </c>
      <c r="C39" s="32">
        <v>0</v>
      </c>
    </row>
    <row r="40" ht="35.1" customHeight="1"/>
    <row r="41" ht="35.1" customHeight="1" spans="2:7">
      <c r="B41" s="32" t="s">
        <v>61</v>
      </c>
      <c r="C41" s="32" t="s">
        <v>87</v>
      </c>
      <c r="D41" s="32" t="s">
        <v>102</v>
      </c>
      <c r="E41" s="53" t="s">
        <v>108</v>
      </c>
      <c r="F41" s="32" t="s">
        <v>114</v>
      </c>
      <c r="G41" s="32" t="s">
        <v>117</v>
      </c>
    </row>
    <row r="42" ht="35.1" customHeight="1" spans="2:7">
      <c r="B42" s="43">
        <f ca="1">H20</f>
        <v>1789.3736055</v>
      </c>
      <c r="C42" s="43">
        <f ca="1">F25</f>
        <v>107.878118466986</v>
      </c>
      <c r="D42" s="43">
        <f>D30</f>
        <v>354.656615384615</v>
      </c>
      <c r="E42" s="43">
        <f ca="1">F36</f>
        <v>203.850045</v>
      </c>
      <c r="F42" s="32">
        <v>0</v>
      </c>
      <c r="G42" s="54">
        <f ca="1">F42+E42+D42+C42+B42+B39+C39</f>
        <v>2455.7583843516</v>
      </c>
    </row>
    <row r="43" ht="35.1" customHeight="1" spans="2:2">
      <c r="B43" s="19" t="s">
        <v>118</v>
      </c>
    </row>
    <row r="44" ht="35.1" customHeight="1"/>
    <row r="45" ht="35.1" customHeight="1"/>
    <row r="46" ht="35.1" customHeight="1"/>
    <row r="47" ht="35.1" customHeight="1"/>
    <row r="48" ht="35.1" customHeight="1"/>
    <row r="49" ht="35.1" customHeight="1"/>
    <row r="50" ht="35.1" customHeight="1"/>
    <row r="51" ht="35.1" customHeight="1"/>
    <row r="52" ht="35.1" customHeight="1"/>
    <row r="53" ht="35.1" customHeight="1"/>
    <row r="54" ht="35.1" customHeight="1"/>
    <row r="55" ht="35.1" customHeight="1"/>
    <row r="56" ht="35.1" customHeight="1"/>
    <row r="57" ht="35.1" customHeight="1"/>
    <row r="58" ht="35.1" customHeight="1"/>
    <row r="59" ht="35.1" customHeight="1"/>
    <row r="60" ht="35.1" customHeight="1"/>
    <row r="61" ht="35.1" customHeight="1"/>
    <row r="62" ht="35.1" customHeight="1"/>
    <row r="63" ht="35.1" customHeight="1"/>
    <row r="64" ht="35.1" customHeight="1"/>
    <row r="65" ht="35.1" customHeight="1"/>
    <row r="66" ht="35.1" customHeight="1"/>
    <row r="67" ht="35.1" customHeight="1"/>
    <row r="68" ht="35.1" customHeight="1"/>
    <row r="69" ht="35.1" customHeight="1"/>
    <row r="70" ht="35.1" customHeight="1"/>
    <row r="71" ht="35.1" customHeight="1"/>
    <row r="72" ht="35.1" customHeight="1"/>
    <row r="73" ht="35.1" customHeight="1"/>
  </sheetData>
  <mergeCells count="54">
    <mergeCell ref="B1:M1"/>
    <mergeCell ref="C2:I2"/>
    <mergeCell ref="X2:AE2"/>
    <mergeCell ref="F3:G3"/>
    <mergeCell ref="I3:M3"/>
    <mergeCell ref="F4:G4"/>
    <mergeCell ref="I4:M4"/>
    <mergeCell ref="F5:G5"/>
    <mergeCell ref="I5:M5"/>
    <mergeCell ref="F6:G6"/>
    <mergeCell ref="B7:C7"/>
    <mergeCell ref="F7:G7"/>
    <mergeCell ref="B9:I9"/>
    <mergeCell ref="B10:E10"/>
    <mergeCell ref="B11:E11"/>
    <mergeCell ref="D12:G12"/>
    <mergeCell ref="D13:G13"/>
    <mergeCell ref="D14:G14"/>
    <mergeCell ref="D15:G15"/>
    <mergeCell ref="D16:G16"/>
    <mergeCell ref="D17:G17"/>
    <mergeCell ref="Y17:AC17"/>
    <mergeCell ref="D18:G18"/>
    <mergeCell ref="D19:I19"/>
    <mergeCell ref="F22:L22"/>
    <mergeCell ref="J23:L23"/>
    <mergeCell ref="J24:L24"/>
    <mergeCell ref="F26:I26"/>
    <mergeCell ref="A27:L27"/>
    <mergeCell ref="D32:E32"/>
    <mergeCell ref="D33:E33"/>
    <mergeCell ref="D34:E34"/>
    <mergeCell ref="D35:E35"/>
    <mergeCell ref="D36:E36"/>
    <mergeCell ref="B43:G43"/>
    <mergeCell ref="A12:A19"/>
    <mergeCell ref="A22:A26"/>
    <mergeCell ref="A28:A30"/>
    <mergeCell ref="A32:A36"/>
    <mergeCell ref="A38:A39"/>
    <mergeCell ref="B12:B19"/>
    <mergeCell ref="B22:B26"/>
    <mergeCell ref="B28:B30"/>
    <mergeCell ref="B32:B36"/>
    <mergeCell ref="K12:N16"/>
    <mergeCell ref="K17:N19"/>
    <mergeCell ref="N22:S26"/>
    <mergeCell ref="H28:M30"/>
    <mergeCell ref="N28:R30"/>
    <mergeCell ref="H32:M36"/>
    <mergeCell ref="N32:R36"/>
    <mergeCell ref="T22:X26"/>
    <mergeCell ref="X3:AE5"/>
    <mergeCell ref="J25:L26"/>
  </mergeCell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1"/>
  <sheetViews>
    <sheetView workbookViewId="0">
      <selection activeCell="I5" sqref="I5"/>
    </sheetView>
  </sheetViews>
  <sheetFormatPr defaultColWidth="9" defaultRowHeight="13.5" outlineLevelCol="4"/>
  <cols>
    <col min="1" max="2" width="14.625" customWidth="1"/>
    <col min="5" max="6" width="12.75" customWidth="1"/>
  </cols>
  <sheetData>
    <row r="1" ht="18" customHeight="1" spans="1:5">
      <c r="A1" s="17" t="s">
        <v>119</v>
      </c>
      <c r="B1" s="17" t="s">
        <v>107</v>
      </c>
      <c r="D1" t="s">
        <v>120</v>
      </c>
      <c r="E1" t="s">
        <v>121</v>
      </c>
    </row>
    <row r="2" ht="18" customHeight="1" spans="1:5">
      <c r="A2" s="17">
        <v>40</v>
      </c>
      <c r="B2" s="17">
        <v>233</v>
      </c>
      <c r="D2">
        <v>1</v>
      </c>
      <c r="E2" s="6">
        <f t="shared" ref="E2:E13" si="0">D2/12</f>
        <v>0.0833333333333333</v>
      </c>
    </row>
    <row r="3" ht="18" customHeight="1" spans="1:5">
      <c r="A3" s="17">
        <v>41</v>
      </c>
      <c r="B3" s="17">
        <v>230</v>
      </c>
      <c r="D3">
        <v>2</v>
      </c>
      <c r="E3" s="6">
        <f t="shared" si="0"/>
        <v>0.166666666666667</v>
      </c>
    </row>
    <row r="4" ht="18" customHeight="1" spans="1:5">
      <c r="A4" s="17">
        <v>42</v>
      </c>
      <c r="B4" s="17">
        <v>226</v>
      </c>
      <c r="D4">
        <v>3</v>
      </c>
      <c r="E4" s="6">
        <f t="shared" si="0"/>
        <v>0.25</v>
      </c>
    </row>
    <row r="5" ht="18" customHeight="1" spans="1:5">
      <c r="A5" s="17">
        <v>43</v>
      </c>
      <c r="B5" s="17">
        <v>223</v>
      </c>
      <c r="D5">
        <v>4</v>
      </c>
      <c r="E5" s="6">
        <f t="shared" si="0"/>
        <v>0.333333333333333</v>
      </c>
    </row>
    <row r="6" ht="18" customHeight="1" spans="1:5">
      <c r="A6" s="17">
        <v>44</v>
      </c>
      <c r="B6" s="17">
        <v>220</v>
      </c>
      <c r="D6">
        <v>5</v>
      </c>
      <c r="E6" s="6">
        <f t="shared" si="0"/>
        <v>0.416666666666667</v>
      </c>
    </row>
    <row r="7" ht="18" customHeight="1" spans="1:5">
      <c r="A7" s="17">
        <v>45</v>
      </c>
      <c r="B7" s="17">
        <v>216</v>
      </c>
      <c r="D7">
        <v>6</v>
      </c>
      <c r="E7" s="6">
        <f t="shared" si="0"/>
        <v>0.5</v>
      </c>
    </row>
    <row r="8" ht="18" customHeight="1" spans="1:5">
      <c r="A8" s="17">
        <v>46</v>
      </c>
      <c r="B8" s="17">
        <v>212</v>
      </c>
      <c r="D8">
        <v>7</v>
      </c>
      <c r="E8" s="6">
        <f t="shared" si="0"/>
        <v>0.583333333333333</v>
      </c>
    </row>
    <row r="9" ht="18" customHeight="1" spans="1:5">
      <c r="A9" s="17">
        <v>47</v>
      </c>
      <c r="B9" s="17">
        <v>207</v>
      </c>
      <c r="D9">
        <v>8</v>
      </c>
      <c r="E9" s="6">
        <f t="shared" si="0"/>
        <v>0.666666666666667</v>
      </c>
    </row>
    <row r="10" ht="18" customHeight="1" spans="1:5">
      <c r="A10" s="17">
        <v>48</v>
      </c>
      <c r="B10" s="17">
        <v>204</v>
      </c>
      <c r="D10">
        <v>9</v>
      </c>
      <c r="E10" s="6">
        <f t="shared" si="0"/>
        <v>0.75</v>
      </c>
    </row>
    <row r="11" ht="18" customHeight="1" spans="1:5">
      <c r="A11" s="17">
        <v>49</v>
      </c>
      <c r="B11" s="17">
        <v>199</v>
      </c>
      <c r="D11">
        <v>10</v>
      </c>
      <c r="E11" s="6">
        <f t="shared" si="0"/>
        <v>0.833333333333333</v>
      </c>
    </row>
    <row r="12" ht="18" customHeight="1" spans="1:5">
      <c r="A12" s="17">
        <v>50</v>
      </c>
      <c r="B12" s="17">
        <v>195</v>
      </c>
      <c r="D12">
        <v>11</v>
      </c>
      <c r="E12" s="6">
        <f t="shared" si="0"/>
        <v>0.916666666666667</v>
      </c>
    </row>
    <row r="13" ht="18" customHeight="1" spans="1:5">
      <c r="A13" s="17">
        <v>51</v>
      </c>
      <c r="B13" s="17">
        <v>190</v>
      </c>
      <c r="D13">
        <v>12</v>
      </c>
      <c r="E13" s="6">
        <f t="shared" si="0"/>
        <v>1</v>
      </c>
    </row>
    <row r="14" ht="18" customHeight="1" spans="1:5">
      <c r="A14" s="17">
        <v>52</v>
      </c>
      <c r="B14" s="17">
        <v>185</v>
      </c>
      <c r="D14">
        <v>13</v>
      </c>
      <c r="E14" s="6">
        <f t="shared" ref="E14:E51" si="1">D14/12</f>
        <v>1.08333333333333</v>
      </c>
    </row>
    <row r="15" ht="18" customHeight="1" spans="1:5">
      <c r="A15" s="17">
        <v>53</v>
      </c>
      <c r="B15" s="17">
        <v>180</v>
      </c>
      <c r="D15">
        <v>14</v>
      </c>
      <c r="E15" s="6">
        <f t="shared" si="1"/>
        <v>1.16666666666667</v>
      </c>
    </row>
    <row r="16" ht="18" customHeight="1" spans="1:5">
      <c r="A16" s="17">
        <v>54</v>
      </c>
      <c r="B16" s="17">
        <v>175</v>
      </c>
      <c r="D16">
        <v>15</v>
      </c>
      <c r="E16" s="6">
        <f t="shared" si="1"/>
        <v>1.25</v>
      </c>
    </row>
    <row r="17" ht="18" customHeight="1" spans="1:5">
      <c r="A17" s="17">
        <v>55</v>
      </c>
      <c r="B17" s="17">
        <v>170</v>
      </c>
      <c r="D17">
        <v>16</v>
      </c>
      <c r="E17" s="6">
        <f t="shared" si="1"/>
        <v>1.33333333333333</v>
      </c>
    </row>
    <row r="18" ht="18" customHeight="1" spans="1:5">
      <c r="A18" s="17">
        <v>56</v>
      </c>
      <c r="B18" s="17">
        <v>164</v>
      </c>
      <c r="D18">
        <v>17</v>
      </c>
      <c r="E18" s="6">
        <f t="shared" si="1"/>
        <v>1.41666666666667</v>
      </c>
    </row>
    <row r="19" ht="15.75" spans="1:5">
      <c r="A19" s="17">
        <v>57</v>
      </c>
      <c r="B19" s="17">
        <v>158</v>
      </c>
      <c r="D19">
        <v>18</v>
      </c>
      <c r="E19" s="6">
        <f t="shared" si="1"/>
        <v>1.5</v>
      </c>
    </row>
    <row r="20" ht="15.75" spans="1:5">
      <c r="A20" s="17">
        <v>58</v>
      </c>
      <c r="B20" s="17">
        <v>152</v>
      </c>
      <c r="D20">
        <v>19</v>
      </c>
      <c r="E20" s="6">
        <f t="shared" si="1"/>
        <v>1.58333333333333</v>
      </c>
    </row>
    <row r="21" ht="15.75" spans="1:5">
      <c r="A21" s="17">
        <v>59</v>
      </c>
      <c r="B21" s="17">
        <v>145</v>
      </c>
      <c r="D21">
        <v>20</v>
      </c>
      <c r="E21" s="6">
        <f t="shared" si="1"/>
        <v>1.66666666666667</v>
      </c>
    </row>
    <row r="22" ht="15.75" spans="1:5">
      <c r="A22" s="17">
        <v>60</v>
      </c>
      <c r="B22" s="17">
        <v>139</v>
      </c>
      <c r="D22">
        <v>21</v>
      </c>
      <c r="E22" s="6">
        <f t="shared" si="1"/>
        <v>1.75</v>
      </c>
    </row>
    <row r="23" ht="15.75" spans="1:5">
      <c r="A23" s="17">
        <v>61</v>
      </c>
      <c r="B23" s="17">
        <v>132</v>
      </c>
      <c r="D23">
        <v>22</v>
      </c>
      <c r="E23" s="6">
        <f t="shared" si="1"/>
        <v>1.83333333333333</v>
      </c>
    </row>
    <row r="24" ht="15.75" spans="1:5">
      <c r="A24" s="17">
        <v>62</v>
      </c>
      <c r="B24" s="17">
        <v>125</v>
      </c>
      <c r="D24">
        <v>23</v>
      </c>
      <c r="E24" s="6">
        <f t="shared" si="1"/>
        <v>1.91666666666667</v>
      </c>
    </row>
    <row r="25" ht="15.75" spans="1:5">
      <c r="A25" s="17">
        <v>63</v>
      </c>
      <c r="B25" s="17">
        <v>117</v>
      </c>
      <c r="D25">
        <v>24</v>
      </c>
      <c r="E25" s="6">
        <f t="shared" si="1"/>
        <v>2</v>
      </c>
    </row>
    <row r="26" ht="15.75" spans="1:5">
      <c r="A26" s="17">
        <v>64</v>
      </c>
      <c r="B26" s="17">
        <v>109</v>
      </c>
      <c r="D26">
        <v>25</v>
      </c>
      <c r="E26" s="6">
        <f t="shared" si="1"/>
        <v>2.08333333333333</v>
      </c>
    </row>
    <row r="27" ht="15.75" spans="1:5">
      <c r="A27" s="17">
        <v>65</v>
      </c>
      <c r="B27" s="17">
        <v>101</v>
      </c>
      <c r="D27">
        <v>26</v>
      </c>
      <c r="E27" s="6">
        <f t="shared" si="1"/>
        <v>2.16666666666667</v>
      </c>
    </row>
    <row r="28" ht="15.75" spans="1:5">
      <c r="A28" s="17">
        <v>66</v>
      </c>
      <c r="B28" s="17">
        <v>93</v>
      </c>
      <c r="D28">
        <v>27</v>
      </c>
      <c r="E28" s="6">
        <f t="shared" si="1"/>
        <v>2.25</v>
      </c>
    </row>
    <row r="29" ht="15.75" spans="1:5">
      <c r="A29" s="17">
        <v>67</v>
      </c>
      <c r="B29" s="17">
        <v>84</v>
      </c>
      <c r="D29">
        <v>28</v>
      </c>
      <c r="E29" s="6">
        <f t="shared" si="1"/>
        <v>2.33333333333333</v>
      </c>
    </row>
    <row r="30" ht="15.75" spans="1:5">
      <c r="A30" s="17">
        <v>68</v>
      </c>
      <c r="B30" s="17">
        <v>75</v>
      </c>
      <c r="D30">
        <v>29</v>
      </c>
      <c r="E30" s="6">
        <f t="shared" si="1"/>
        <v>2.41666666666667</v>
      </c>
    </row>
    <row r="31" ht="15.75" spans="1:5">
      <c r="A31" s="17">
        <v>69</v>
      </c>
      <c r="B31" s="17">
        <v>65</v>
      </c>
      <c r="D31">
        <v>30</v>
      </c>
      <c r="E31" s="6">
        <f t="shared" si="1"/>
        <v>2.5</v>
      </c>
    </row>
    <row r="32" ht="15.75" spans="1:5">
      <c r="A32" s="17">
        <v>70</v>
      </c>
      <c r="B32" s="17">
        <v>56</v>
      </c>
      <c r="D32">
        <v>31</v>
      </c>
      <c r="E32" s="6">
        <f t="shared" si="1"/>
        <v>2.58333333333333</v>
      </c>
    </row>
    <row r="33" spans="4:5">
      <c r="D33">
        <v>32</v>
      </c>
      <c r="E33" s="6">
        <f t="shared" si="1"/>
        <v>2.66666666666667</v>
      </c>
    </row>
    <row r="34" spans="4:5">
      <c r="D34">
        <v>33</v>
      </c>
      <c r="E34" s="6">
        <f t="shared" si="1"/>
        <v>2.75</v>
      </c>
    </row>
    <row r="35" spans="4:5">
      <c r="D35">
        <v>34</v>
      </c>
      <c r="E35" s="6">
        <f t="shared" si="1"/>
        <v>2.83333333333333</v>
      </c>
    </row>
    <row r="36" spans="4:5">
      <c r="D36">
        <v>35</v>
      </c>
      <c r="E36" s="6">
        <f t="shared" si="1"/>
        <v>2.91666666666667</v>
      </c>
    </row>
    <row r="37" spans="4:5">
      <c r="D37">
        <v>36</v>
      </c>
      <c r="E37" s="6">
        <f t="shared" si="1"/>
        <v>3</v>
      </c>
    </row>
    <row r="38" spans="4:5">
      <c r="D38">
        <v>37</v>
      </c>
      <c r="E38" s="6">
        <f t="shared" si="1"/>
        <v>3.08333333333333</v>
      </c>
    </row>
    <row r="39" spans="4:5">
      <c r="D39">
        <v>38</v>
      </c>
      <c r="E39" s="6">
        <f t="shared" si="1"/>
        <v>3.16666666666667</v>
      </c>
    </row>
    <row r="40" spans="4:5">
      <c r="D40">
        <v>39</v>
      </c>
      <c r="E40" s="6">
        <f t="shared" si="1"/>
        <v>3.25</v>
      </c>
    </row>
    <row r="41" spans="4:5">
      <c r="D41">
        <v>40</v>
      </c>
      <c r="E41" s="6">
        <f t="shared" si="1"/>
        <v>3.33333333333333</v>
      </c>
    </row>
    <row r="42" spans="4:5">
      <c r="D42">
        <v>41</v>
      </c>
      <c r="E42" s="6">
        <f t="shared" si="1"/>
        <v>3.41666666666667</v>
      </c>
    </row>
    <row r="43" spans="4:5">
      <c r="D43">
        <v>42</v>
      </c>
      <c r="E43" s="6">
        <f t="shared" si="1"/>
        <v>3.5</v>
      </c>
    </row>
    <row r="44" spans="4:5">
      <c r="D44">
        <v>43</v>
      </c>
      <c r="E44" s="6">
        <f t="shared" si="1"/>
        <v>3.58333333333333</v>
      </c>
    </row>
    <row r="45" spans="4:5">
      <c r="D45">
        <v>44</v>
      </c>
      <c r="E45" s="6">
        <f t="shared" si="1"/>
        <v>3.66666666666667</v>
      </c>
    </row>
    <row r="46" spans="4:5">
      <c r="D46">
        <v>45</v>
      </c>
      <c r="E46" s="6">
        <f t="shared" si="1"/>
        <v>3.75</v>
      </c>
    </row>
    <row r="47" spans="4:5">
      <c r="D47">
        <v>46</v>
      </c>
      <c r="E47" s="6">
        <f t="shared" si="1"/>
        <v>3.83333333333333</v>
      </c>
    </row>
    <row r="48" spans="4:5">
      <c r="D48">
        <v>47</v>
      </c>
      <c r="E48" s="6">
        <f t="shared" si="1"/>
        <v>3.91666666666667</v>
      </c>
    </row>
    <row r="49" spans="4:5">
      <c r="D49">
        <v>48</v>
      </c>
      <c r="E49" s="6">
        <f t="shared" si="1"/>
        <v>4</v>
      </c>
    </row>
    <row r="50" spans="4:5">
      <c r="D50">
        <v>49</v>
      </c>
      <c r="E50" s="6">
        <f t="shared" si="1"/>
        <v>4.08333333333333</v>
      </c>
    </row>
    <row r="51" spans="4:5">
      <c r="D51">
        <v>50</v>
      </c>
      <c r="E51" s="6">
        <f t="shared" si="1"/>
        <v>4.16666666666667</v>
      </c>
    </row>
    <row r="52" spans="4:5">
      <c r="D52">
        <v>51</v>
      </c>
      <c r="E52" s="6">
        <f t="shared" ref="E52:E83" si="2">D52/12</f>
        <v>4.25</v>
      </c>
    </row>
    <row r="53" spans="4:5">
      <c r="D53">
        <v>52</v>
      </c>
      <c r="E53" s="6">
        <f t="shared" si="2"/>
        <v>4.33333333333333</v>
      </c>
    </row>
    <row r="54" spans="4:5">
      <c r="D54">
        <v>53</v>
      </c>
      <c r="E54" s="6">
        <f t="shared" si="2"/>
        <v>4.41666666666667</v>
      </c>
    </row>
    <row r="55" spans="4:5">
      <c r="D55">
        <v>54</v>
      </c>
      <c r="E55" s="6">
        <f t="shared" si="2"/>
        <v>4.5</v>
      </c>
    </row>
    <row r="56" spans="4:5">
      <c r="D56">
        <v>55</v>
      </c>
      <c r="E56" s="6">
        <f t="shared" si="2"/>
        <v>4.58333333333333</v>
      </c>
    </row>
    <row r="57" spans="4:5">
      <c r="D57">
        <v>56</v>
      </c>
      <c r="E57" s="6">
        <f t="shared" si="2"/>
        <v>4.66666666666667</v>
      </c>
    </row>
    <row r="58" spans="4:5">
      <c r="D58">
        <v>57</v>
      </c>
      <c r="E58" s="6">
        <f t="shared" si="2"/>
        <v>4.75</v>
      </c>
    </row>
    <row r="59" spans="4:5">
      <c r="D59">
        <v>58</v>
      </c>
      <c r="E59" s="6">
        <f t="shared" si="2"/>
        <v>4.83333333333333</v>
      </c>
    </row>
    <row r="60" spans="4:5">
      <c r="D60">
        <v>59</v>
      </c>
      <c r="E60" s="6">
        <f t="shared" si="2"/>
        <v>4.91666666666667</v>
      </c>
    </row>
    <row r="61" spans="4:5">
      <c r="D61">
        <v>60</v>
      </c>
      <c r="E61" s="6">
        <f t="shared" si="2"/>
        <v>5</v>
      </c>
    </row>
    <row r="62" spans="4:5">
      <c r="D62">
        <v>61</v>
      </c>
      <c r="E62" s="6">
        <f t="shared" si="2"/>
        <v>5.08333333333333</v>
      </c>
    </row>
    <row r="63" spans="4:5">
      <c r="D63">
        <v>62</v>
      </c>
      <c r="E63" s="6">
        <f t="shared" si="2"/>
        <v>5.16666666666667</v>
      </c>
    </row>
    <row r="64" spans="4:5">
      <c r="D64">
        <v>63</v>
      </c>
      <c r="E64" s="6">
        <f t="shared" si="2"/>
        <v>5.25</v>
      </c>
    </row>
    <row r="65" spans="4:5">
      <c r="D65">
        <v>64</v>
      </c>
      <c r="E65" s="6">
        <f t="shared" si="2"/>
        <v>5.33333333333333</v>
      </c>
    </row>
    <row r="66" spans="4:5">
      <c r="D66">
        <v>65</v>
      </c>
      <c r="E66" s="6">
        <f t="shared" si="2"/>
        <v>5.41666666666667</v>
      </c>
    </row>
    <row r="67" spans="4:5">
      <c r="D67">
        <v>66</v>
      </c>
      <c r="E67" s="6">
        <f t="shared" si="2"/>
        <v>5.5</v>
      </c>
    </row>
    <row r="68" spans="4:5">
      <c r="D68">
        <v>67</v>
      </c>
      <c r="E68" s="6">
        <f t="shared" si="2"/>
        <v>5.58333333333333</v>
      </c>
    </row>
    <row r="69" spans="4:5">
      <c r="D69">
        <v>68</v>
      </c>
      <c r="E69" s="6">
        <f t="shared" si="2"/>
        <v>5.66666666666667</v>
      </c>
    </row>
    <row r="70" spans="4:5">
      <c r="D70">
        <v>69</v>
      </c>
      <c r="E70" s="6">
        <f t="shared" si="2"/>
        <v>5.75</v>
      </c>
    </row>
    <row r="71" spans="4:5">
      <c r="D71">
        <v>70</v>
      </c>
      <c r="E71" s="6">
        <f t="shared" si="2"/>
        <v>5.83333333333333</v>
      </c>
    </row>
    <row r="72" spans="4:5">
      <c r="D72">
        <v>71</v>
      </c>
      <c r="E72" s="6">
        <f t="shared" si="2"/>
        <v>5.91666666666667</v>
      </c>
    </row>
    <row r="73" spans="4:5">
      <c r="D73">
        <v>72</v>
      </c>
      <c r="E73" s="6">
        <f t="shared" si="2"/>
        <v>6</v>
      </c>
    </row>
    <row r="74" spans="4:5">
      <c r="D74">
        <v>73</v>
      </c>
      <c r="E74" s="6">
        <f t="shared" si="2"/>
        <v>6.08333333333333</v>
      </c>
    </row>
    <row r="75" spans="4:5">
      <c r="D75">
        <v>74</v>
      </c>
      <c r="E75" s="6">
        <f t="shared" si="2"/>
        <v>6.16666666666667</v>
      </c>
    </row>
    <row r="76" spans="4:5">
      <c r="D76">
        <v>75</v>
      </c>
      <c r="E76" s="6">
        <f t="shared" si="2"/>
        <v>6.25</v>
      </c>
    </row>
    <row r="77" spans="4:5">
      <c r="D77">
        <v>76</v>
      </c>
      <c r="E77" s="6">
        <f t="shared" si="2"/>
        <v>6.33333333333333</v>
      </c>
    </row>
    <row r="78" spans="4:5">
      <c r="D78">
        <v>77</v>
      </c>
      <c r="E78" s="6">
        <f t="shared" si="2"/>
        <v>6.41666666666667</v>
      </c>
    </row>
    <row r="79" spans="4:5">
      <c r="D79">
        <v>78</v>
      </c>
      <c r="E79" s="6">
        <f t="shared" si="2"/>
        <v>6.5</v>
      </c>
    </row>
    <row r="80" spans="4:5">
      <c r="D80">
        <v>79</v>
      </c>
      <c r="E80" s="6">
        <f t="shared" si="2"/>
        <v>6.58333333333333</v>
      </c>
    </row>
    <row r="81" spans="4:5">
      <c r="D81">
        <v>80</v>
      </c>
      <c r="E81" s="6">
        <f t="shared" si="2"/>
        <v>6.66666666666667</v>
      </c>
    </row>
    <row r="82" spans="4:5">
      <c r="D82">
        <v>81</v>
      </c>
      <c r="E82" s="6">
        <f t="shared" si="2"/>
        <v>6.75</v>
      </c>
    </row>
    <row r="83" spans="4:5">
      <c r="D83">
        <v>82</v>
      </c>
      <c r="E83" s="6">
        <f t="shared" si="2"/>
        <v>6.83333333333333</v>
      </c>
    </row>
    <row r="84" spans="4:5">
      <c r="D84">
        <v>83</v>
      </c>
      <c r="E84" s="6">
        <f t="shared" ref="E84:E115" si="3">D84/12</f>
        <v>6.91666666666667</v>
      </c>
    </row>
    <row r="85" spans="4:5">
      <c r="D85">
        <v>84</v>
      </c>
      <c r="E85" s="6">
        <f t="shared" si="3"/>
        <v>7</v>
      </c>
    </row>
    <row r="86" spans="4:5">
      <c r="D86">
        <v>85</v>
      </c>
      <c r="E86" s="6">
        <f t="shared" si="3"/>
        <v>7.08333333333333</v>
      </c>
    </row>
    <row r="87" spans="4:5">
      <c r="D87">
        <v>86</v>
      </c>
      <c r="E87" s="6">
        <f t="shared" si="3"/>
        <v>7.16666666666667</v>
      </c>
    </row>
    <row r="88" spans="4:5">
      <c r="D88">
        <v>87</v>
      </c>
      <c r="E88" s="6">
        <f t="shared" si="3"/>
        <v>7.25</v>
      </c>
    </row>
    <row r="89" spans="4:5">
      <c r="D89">
        <v>88</v>
      </c>
      <c r="E89" s="6">
        <f t="shared" si="3"/>
        <v>7.33333333333333</v>
      </c>
    </row>
    <row r="90" spans="4:5">
      <c r="D90">
        <v>89</v>
      </c>
      <c r="E90" s="6">
        <f t="shared" si="3"/>
        <v>7.41666666666667</v>
      </c>
    </row>
    <row r="91" spans="4:5">
      <c r="D91">
        <v>90</v>
      </c>
      <c r="E91" s="6">
        <f t="shared" si="3"/>
        <v>7.5</v>
      </c>
    </row>
    <row r="92" spans="4:5">
      <c r="D92">
        <v>91</v>
      </c>
      <c r="E92" s="6">
        <f t="shared" si="3"/>
        <v>7.58333333333333</v>
      </c>
    </row>
    <row r="93" spans="4:5">
      <c r="D93">
        <v>92</v>
      </c>
      <c r="E93" s="6">
        <f t="shared" si="3"/>
        <v>7.66666666666667</v>
      </c>
    </row>
    <row r="94" spans="4:5">
      <c r="D94">
        <v>93</v>
      </c>
      <c r="E94" s="6">
        <f t="shared" si="3"/>
        <v>7.75</v>
      </c>
    </row>
    <row r="95" spans="4:5">
      <c r="D95">
        <v>94</v>
      </c>
      <c r="E95" s="6">
        <f t="shared" si="3"/>
        <v>7.83333333333333</v>
      </c>
    </row>
    <row r="96" spans="4:5">
      <c r="D96">
        <v>95</v>
      </c>
      <c r="E96" s="6">
        <f t="shared" si="3"/>
        <v>7.91666666666667</v>
      </c>
    </row>
    <row r="97" spans="4:5">
      <c r="D97">
        <v>96</v>
      </c>
      <c r="E97" s="6">
        <f t="shared" si="3"/>
        <v>8</v>
      </c>
    </row>
    <row r="98" spans="4:5">
      <c r="D98">
        <v>97</v>
      </c>
      <c r="E98" s="6">
        <f t="shared" si="3"/>
        <v>8.08333333333333</v>
      </c>
    </row>
    <row r="99" spans="4:5">
      <c r="D99">
        <v>98</v>
      </c>
      <c r="E99" s="6">
        <f t="shared" si="3"/>
        <v>8.16666666666667</v>
      </c>
    </row>
    <row r="100" spans="4:5">
      <c r="D100">
        <v>99</v>
      </c>
      <c r="E100" s="6">
        <f t="shared" si="3"/>
        <v>8.25</v>
      </c>
    </row>
    <row r="101" spans="4:5">
      <c r="D101">
        <v>100</v>
      </c>
      <c r="E101" s="6">
        <f t="shared" si="3"/>
        <v>8.33333333333333</v>
      </c>
    </row>
    <row r="102" spans="4:5">
      <c r="D102">
        <v>101</v>
      </c>
      <c r="E102" s="6">
        <f t="shared" si="3"/>
        <v>8.41666666666667</v>
      </c>
    </row>
    <row r="103" spans="4:5">
      <c r="D103">
        <v>102</v>
      </c>
      <c r="E103" s="6">
        <f t="shared" si="3"/>
        <v>8.5</v>
      </c>
    </row>
    <row r="104" spans="4:5">
      <c r="D104">
        <v>103</v>
      </c>
      <c r="E104" s="6">
        <f t="shared" si="3"/>
        <v>8.58333333333333</v>
      </c>
    </row>
    <row r="105" spans="4:5">
      <c r="D105">
        <v>104</v>
      </c>
      <c r="E105" s="6">
        <f t="shared" si="3"/>
        <v>8.66666666666667</v>
      </c>
    </row>
    <row r="106" spans="4:5">
      <c r="D106">
        <v>105</v>
      </c>
      <c r="E106" s="6">
        <f t="shared" si="3"/>
        <v>8.75</v>
      </c>
    </row>
    <row r="107" spans="4:5">
      <c r="D107">
        <v>106</v>
      </c>
      <c r="E107" s="6">
        <f t="shared" si="3"/>
        <v>8.83333333333333</v>
      </c>
    </row>
    <row r="108" spans="4:5">
      <c r="D108">
        <v>107</v>
      </c>
      <c r="E108" s="6">
        <f t="shared" si="3"/>
        <v>8.91666666666667</v>
      </c>
    </row>
    <row r="109" spans="4:5">
      <c r="D109">
        <v>108</v>
      </c>
      <c r="E109" s="6">
        <f t="shared" si="3"/>
        <v>9</v>
      </c>
    </row>
    <row r="110" spans="4:5">
      <c r="D110">
        <v>109</v>
      </c>
      <c r="E110" s="6">
        <f t="shared" si="3"/>
        <v>9.08333333333333</v>
      </c>
    </row>
    <row r="111" spans="4:5">
      <c r="D111">
        <v>110</v>
      </c>
      <c r="E111" s="6">
        <f t="shared" si="3"/>
        <v>9.16666666666667</v>
      </c>
    </row>
    <row r="112" spans="4:5">
      <c r="D112">
        <v>111</v>
      </c>
      <c r="E112" s="6">
        <f t="shared" si="3"/>
        <v>9.25</v>
      </c>
    </row>
    <row r="113" spans="4:5">
      <c r="D113">
        <v>112</v>
      </c>
      <c r="E113" s="6">
        <f t="shared" si="3"/>
        <v>9.33333333333333</v>
      </c>
    </row>
    <row r="114" spans="4:5">
      <c r="D114">
        <v>113</v>
      </c>
      <c r="E114" s="6">
        <f t="shared" si="3"/>
        <v>9.41666666666667</v>
      </c>
    </row>
    <row r="115" spans="4:5">
      <c r="D115">
        <v>114</v>
      </c>
      <c r="E115" s="6">
        <f t="shared" si="3"/>
        <v>9.5</v>
      </c>
    </row>
    <row r="116" spans="4:5">
      <c r="D116">
        <v>115</v>
      </c>
      <c r="E116" s="6">
        <f t="shared" ref="E116:E137" si="4">D116/12</f>
        <v>9.58333333333333</v>
      </c>
    </row>
    <row r="117" spans="4:5">
      <c r="D117">
        <v>116</v>
      </c>
      <c r="E117" s="6">
        <f t="shared" si="4"/>
        <v>9.66666666666667</v>
      </c>
    </row>
    <row r="118" spans="4:5">
      <c r="D118">
        <v>117</v>
      </c>
      <c r="E118" s="6">
        <f t="shared" si="4"/>
        <v>9.75</v>
      </c>
    </row>
    <row r="119" spans="4:5">
      <c r="D119">
        <v>118</v>
      </c>
      <c r="E119" s="6">
        <f t="shared" si="4"/>
        <v>9.83333333333333</v>
      </c>
    </row>
    <row r="120" spans="4:5">
      <c r="D120">
        <v>119</v>
      </c>
      <c r="E120" s="6">
        <f t="shared" si="4"/>
        <v>9.91666666666667</v>
      </c>
    </row>
    <row r="121" spans="4:5">
      <c r="D121">
        <v>120</v>
      </c>
      <c r="E121" s="6">
        <f t="shared" si="4"/>
        <v>10</v>
      </c>
    </row>
    <row r="122" spans="4:5">
      <c r="D122">
        <v>121</v>
      </c>
      <c r="E122" s="6">
        <f t="shared" si="4"/>
        <v>10.0833333333333</v>
      </c>
    </row>
    <row r="123" spans="4:5">
      <c r="D123">
        <v>122</v>
      </c>
      <c r="E123" s="6">
        <f t="shared" si="4"/>
        <v>10.1666666666667</v>
      </c>
    </row>
    <row r="124" spans="4:5">
      <c r="D124">
        <v>123</v>
      </c>
      <c r="E124" s="6">
        <f t="shared" si="4"/>
        <v>10.25</v>
      </c>
    </row>
    <row r="125" spans="4:5">
      <c r="D125">
        <v>124</v>
      </c>
      <c r="E125" s="6">
        <f t="shared" si="4"/>
        <v>10.3333333333333</v>
      </c>
    </row>
    <row r="126" spans="4:5">
      <c r="D126">
        <v>125</v>
      </c>
      <c r="E126" s="6">
        <f t="shared" si="4"/>
        <v>10.4166666666667</v>
      </c>
    </row>
    <row r="127" spans="4:5">
      <c r="D127">
        <v>126</v>
      </c>
      <c r="E127" s="6">
        <f t="shared" si="4"/>
        <v>10.5</v>
      </c>
    </row>
    <row r="128" spans="4:5">
      <c r="D128">
        <v>127</v>
      </c>
      <c r="E128" s="6">
        <f t="shared" si="4"/>
        <v>10.5833333333333</v>
      </c>
    </row>
    <row r="129" spans="4:5">
      <c r="D129">
        <v>128</v>
      </c>
      <c r="E129" s="6">
        <f t="shared" si="4"/>
        <v>10.6666666666667</v>
      </c>
    </row>
    <row r="130" spans="4:5">
      <c r="D130">
        <v>129</v>
      </c>
      <c r="E130" s="6">
        <f t="shared" si="4"/>
        <v>10.75</v>
      </c>
    </row>
    <row r="131" spans="4:5">
      <c r="D131">
        <v>130</v>
      </c>
      <c r="E131" s="6">
        <f t="shared" si="4"/>
        <v>10.8333333333333</v>
      </c>
    </row>
    <row r="132" spans="4:5">
      <c r="D132">
        <v>131</v>
      </c>
      <c r="E132" s="6">
        <f t="shared" si="4"/>
        <v>10.9166666666667</v>
      </c>
    </row>
    <row r="133" spans="4:5">
      <c r="D133">
        <v>132</v>
      </c>
      <c r="E133" s="6">
        <f t="shared" si="4"/>
        <v>11</v>
      </c>
    </row>
    <row r="134" spans="4:5">
      <c r="D134">
        <v>133</v>
      </c>
      <c r="E134" s="6">
        <f t="shared" si="4"/>
        <v>11.0833333333333</v>
      </c>
    </row>
    <row r="135" spans="4:5">
      <c r="D135">
        <v>134</v>
      </c>
      <c r="E135" s="6">
        <f t="shared" si="4"/>
        <v>11.1666666666667</v>
      </c>
    </row>
    <row r="136" spans="4:5">
      <c r="D136">
        <v>135</v>
      </c>
      <c r="E136" s="6">
        <f t="shared" si="4"/>
        <v>11.25</v>
      </c>
    </row>
    <row r="137" spans="4:5">
      <c r="D137">
        <v>136</v>
      </c>
      <c r="E137" s="6">
        <f t="shared" si="4"/>
        <v>11.3333333333333</v>
      </c>
    </row>
    <row r="138" spans="4:5">
      <c r="D138">
        <v>137</v>
      </c>
      <c r="E138" s="6">
        <f t="shared" ref="E138:E181" si="5">D138/12</f>
        <v>11.4166666666667</v>
      </c>
    </row>
    <row r="139" spans="4:5">
      <c r="D139">
        <v>138</v>
      </c>
      <c r="E139" s="6">
        <f t="shared" si="5"/>
        <v>11.5</v>
      </c>
    </row>
    <row r="140" spans="4:5">
      <c r="D140">
        <v>139</v>
      </c>
      <c r="E140" s="6">
        <f t="shared" si="5"/>
        <v>11.5833333333333</v>
      </c>
    </row>
    <row r="141" spans="4:5">
      <c r="D141">
        <v>140</v>
      </c>
      <c r="E141" s="6">
        <f t="shared" si="5"/>
        <v>11.6666666666667</v>
      </c>
    </row>
    <row r="142" spans="4:5">
      <c r="D142">
        <v>141</v>
      </c>
      <c r="E142" s="6">
        <f t="shared" si="5"/>
        <v>11.75</v>
      </c>
    </row>
    <row r="143" spans="4:5">
      <c r="D143">
        <v>142</v>
      </c>
      <c r="E143" s="6">
        <f t="shared" si="5"/>
        <v>11.8333333333333</v>
      </c>
    </row>
    <row r="144" spans="4:5">
      <c r="D144">
        <v>143</v>
      </c>
      <c r="E144" s="6">
        <f t="shared" si="5"/>
        <v>11.9166666666667</v>
      </c>
    </row>
    <row r="145" spans="4:5">
      <c r="D145">
        <v>144</v>
      </c>
      <c r="E145" s="6">
        <f t="shared" si="5"/>
        <v>12</v>
      </c>
    </row>
    <row r="146" spans="4:5">
      <c r="D146">
        <v>145</v>
      </c>
      <c r="E146" s="6">
        <f t="shared" si="5"/>
        <v>12.0833333333333</v>
      </c>
    </row>
    <row r="147" spans="4:5">
      <c r="D147">
        <v>146</v>
      </c>
      <c r="E147" s="6">
        <f t="shared" si="5"/>
        <v>12.1666666666667</v>
      </c>
    </row>
    <row r="148" spans="4:5">
      <c r="D148">
        <v>147</v>
      </c>
      <c r="E148" s="6">
        <f t="shared" si="5"/>
        <v>12.25</v>
      </c>
    </row>
    <row r="149" spans="4:5">
      <c r="D149">
        <v>148</v>
      </c>
      <c r="E149" s="6">
        <f t="shared" si="5"/>
        <v>12.3333333333333</v>
      </c>
    </row>
    <row r="150" spans="4:5">
      <c r="D150">
        <v>149</v>
      </c>
      <c r="E150" s="6">
        <f t="shared" si="5"/>
        <v>12.4166666666667</v>
      </c>
    </row>
    <row r="151" spans="4:5">
      <c r="D151">
        <v>150</v>
      </c>
      <c r="E151" s="6">
        <f t="shared" si="5"/>
        <v>12.5</v>
      </c>
    </row>
    <row r="152" spans="4:5">
      <c r="D152">
        <v>151</v>
      </c>
      <c r="E152" s="6">
        <f t="shared" si="5"/>
        <v>12.5833333333333</v>
      </c>
    </row>
    <row r="153" spans="4:5">
      <c r="D153">
        <v>152</v>
      </c>
      <c r="E153" s="6">
        <f t="shared" si="5"/>
        <v>12.6666666666667</v>
      </c>
    </row>
    <row r="154" spans="4:5">
      <c r="D154">
        <v>153</v>
      </c>
      <c r="E154" s="6">
        <f t="shared" si="5"/>
        <v>12.75</v>
      </c>
    </row>
    <row r="155" spans="4:5">
      <c r="D155">
        <v>154</v>
      </c>
      <c r="E155" s="6">
        <f t="shared" si="5"/>
        <v>12.8333333333333</v>
      </c>
    </row>
    <row r="156" spans="4:5">
      <c r="D156">
        <v>155</v>
      </c>
      <c r="E156" s="6">
        <f t="shared" si="5"/>
        <v>12.9166666666667</v>
      </c>
    </row>
    <row r="157" spans="4:5">
      <c r="D157">
        <v>156</v>
      </c>
      <c r="E157" s="6">
        <f t="shared" si="5"/>
        <v>13</v>
      </c>
    </row>
    <row r="158" spans="4:5">
      <c r="D158">
        <v>157</v>
      </c>
      <c r="E158" s="6">
        <f t="shared" si="5"/>
        <v>13.0833333333333</v>
      </c>
    </row>
    <row r="159" spans="4:5">
      <c r="D159">
        <v>158</v>
      </c>
      <c r="E159" s="6">
        <f t="shared" si="5"/>
        <v>13.1666666666667</v>
      </c>
    </row>
    <row r="160" spans="4:5">
      <c r="D160">
        <v>159</v>
      </c>
      <c r="E160" s="6">
        <f t="shared" si="5"/>
        <v>13.25</v>
      </c>
    </row>
    <row r="161" spans="4:5">
      <c r="D161">
        <v>160</v>
      </c>
      <c r="E161" s="6">
        <f t="shared" si="5"/>
        <v>13.3333333333333</v>
      </c>
    </row>
    <row r="162" spans="4:5">
      <c r="D162">
        <v>161</v>
      </c>
      <c r="E162" s="6">
        <f t="shared" si="5"/>
        <v>13.4166666666667</v>
      </c>
    </row>
    <row r="163" spans="4:5">
      <c r="D163">
        <v>162</v>
      </c>
      <c r="E163" s="6">
        <f t="shared" si="5"/>
        <v>13.5</v>
      </c>
    </row>
    <row r="164" spans="4:5">
      <c r="D164">
        <v>163</v>
      </c>
      <c r="E164" s="6">
        <f t="shared" si="5"/>
        <v>13.5833333333333</v>
      </c>
    </row>
    <row r="165" spans="4:5">
      <c r="D165">
        <v>164</v>
      </c>
      <c r="E165" s="6">
        <f t="shared" si="5"/>
        <v>13.6666666666667</v>
      </c>
    </row>
    <row r="166" spans="4:5">
      <c r="D166">
        <v>165</v>
      </c>
      <c r="E166" s="6">
        <f t="shared" si="5"/>
        <v>13.75</v>
      </c>
    </row>
    <row r="167" spans="4:5">
      <c r="D167">
        <v>166</v>
      </c>
      <c r="E167" s="6">
        <f t="shared" si="5"/>
        <v>13.8333333333333</v>
      </c>
    </row>
    <row r="168" spans="4:5">
      <c r="D168">
        <v>167</v>
      </c>
      <c r="E168" s="6">
        <f t="shared" si="5"/>
        <v>13.9166666666667</v>
      </c>
    </row>
    <row r="169" spans="4:5">
      <c r="D169">
        <v>168</v>
      </c>
      <c r="E169" s="6">
        <f t="shared" si="5"/>
        <v>14</v>
      </c>
    </row>
    <row r="170" spans="4:5">
      <c r="D170">
        <v>169</v>
      </c>
      <c r="E170" s="6">
        <f t="shared" si="5"/>
        <v>14.0833333333333</v>
      </c>
    </row>
    <row r="171" spans="4:5">
      <c r="D171">
        <v>170</v>
      </c>
      <c r="E171" s="6">
        <f t="shared" si="5"/>
        <v>14.1666666666667</v>
      </c>
    </row>
    <row r="172" spans="4:5">
      <c r="D172">
        <v>171</v>
      </c>
      <c r="E172" s="6">
        <f t="shared" si="5"/>
        <v>14.25</v>
      </c>
    </row>
    <row r="173" spans="4:5">
      <c r="D173">
        <v>172</v>
      </c>
      <c r="E173" s="6">
        <f t="shared" si="5"/>
        <v>14.3333333333333</v>
      </c>
    </row>
    <row r="174" spans="4:5">
      <c r="D174">
        <v>173</v>
      </c>
      <c r="E174" s="6">
        <f t="shared" si="5"/>
        <v>14.4166666666667</v>
      </c>
    </row>
    <row r="175" spans="4:5">
      <c r="D175">
        <v>174</v>
      </c>
      <c r="E175" s="6">
        <f t="shared" si="5"/>
        <v>14.5</v>
      </c>
    </row>
    <row r="176" spans="4:5">
      <c r="D176">
        <v>175</v>
      </c>
      <c r="E176" s="6">
        <f t="shared" si="5"/>
        <v>14.5833333333333</v>
      </c>
    </row>
    <row r="177" spans="4:5">
      <c r="D177">
        <v>176</v>
      </c>
      <c r="E177" s="6">
        <f t="shared" si="5"/>
        <v>14.6666666666667</v>
      </c>
    </row>
    <row r="178" spans="4:5">
      <c r="D178">
        <v>177</v>
      </c>
      <c r="E178" s="6">
        <f t="shared" si="5"/>
        <v>14.75</v>
      </c>
    </row>
    <row r="179" spans="4:5">
      <c r="D179">
        <v>178</v>
      </c>
      <c r="E179" s="6">
        <f t="shared" si="5"/>
        <v>14.8333333333333</v>
      </c>
    </row>
    <row r="180" spans="4:5">
      <c r="D180">
        <v>179</v>
      </c>
      <c r="E180" s="6">
        <f t="shared" si="5"/>
        <v>14.9166666666667</v>
      </c>
    </row>
    <row r="181" spans="4:5">
      <c r="D181">
        <v>180</v>
      </c>
      <c r="E181" s="6">
        <f t="shared" si="5"/>
        <v>15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workbookViewId="0">
      <selection activeCell="C2" sqref="C2"/>
    </sheetView>
  </sheetViews>
  <sheetFormatPr defaultColWidth="9" defaultRowHeight="13.5" outlineLevelCol="7"/>
  <cols>
    <col min="1" max="1" width="9" style="12"/>
    <col min="2" max="2" width="20.625" style="12" customWidth="1"/>
    <col min="3" max="3" width="9.375" style="13"/>
    <col min="4" max="6" width="9" style="12"/>
  </cols>
  <sheetData>
    <row r="1" ht="18" customHeight="1" spans="1:8">
      <c r="A1" s="14">
        <v>1</v>
      </c>
      <c r="B1" s="15" t="s">
        <v>19</v>
      </c>
      <c r="C1" s="16">
        <v>79242</v>
      </c>
      <c r="H1">
        <f>C1/12</f>
        <v>6603.5</v>
      </c>
    </row>
    <row r="2" ht="18" customHeight="1" spans="1:3">
      <c r="A2" s="14">
        <v>2</v>
      </c>
      <c r="B2" s="15" t="s">
        <v>22</v>
      </c>
      <c r="C2" s="16">
        <v>91251</v>
      </c>
    </row>
    <row r="3" ht="18" customHeight="1" spans="1:3">
      <c r="A3" s="17">
        <v>3</v>
      </c>
      <c r="B3" s="17" t="s">
        <v>122</v>
      </c>
      <c r="C3" s="18">
        <v>76618</v>
      </c>
    </row>
    <row r="4" ht="18" customHeight="1" spans="1:3">
      <c r="A4" s="17">
        <v>4</v>
      </c>
      <c r="B4" s="17" t="s">
        <v>123</v>
      </c>
      <c r="C4" s="18">
        <v>76618</v>
      </c>
    </row>
    <row r="5" ht="18" customHeight="1" spans="1:3">
      <c r="A5" s="17">
        <v>5</v>
      </c>
      <c r="B5" s="17" t="s">
        <v>124</v>
      </c>
      <c r="C5" s="18">
        <v>76618</v>
      </c>
    </row>
    <row r="6" ht="18" customHeight="1" spans="1:3">
      <c r="A6" s="17">
        <v>6</v>
      </c>
      <c r="B6" s="17" t="s">
        <v>125</v>
      </c>
      <c r="C6" s="18">
        <v>76618</v>
      </c>
    </row>
    <row r="7" ht="18" customHeight="1" spans="1:3">
      <c r="A7" s="17">
        <v>7</v>
      </c>
      <c r="B7" s="17" t="s">
        <v>126</v>
      </c>
      <c r="C7" s="18">
        <v>76618</v>
      </c>
    </row>
    <row r="8" ht="18" customHeight="1" spans="1:3">
      <c r="A8" s="17">
        <v>8</v>
      </c>
      <c r="B8" s="17" t="s">
        <v>127</v>
      </c>
      <c r="C8" s="18">
        <v>76618</v>
      </c>
    </row>
    <row r="9" ht="18" customHeight="1" spans="1:3">
      <c r="A9" s="17">
        <v>9</v>
      </c>
      <c r="B9" s="17" t="s">
        <v>128</v>
      </c>
      <c r="C9" s="18">
        <v>76618</v>
      </c>
    </row>
    <row r="10" ht="18" customHeight="1" spans="1:3">
      <c r="A10" s="17">
        <v>10</v>
      </c>
      <c r="B10" s="17" t="s">
        <v>129</v>
      </c>
      <c r="C10" s="18">
        <v>76618</v>
      </c>
    </row>
    <row r="11" ht="18" customHeight="1" spans="1:3">
      <c r="A11" s="17">
        <v>11</v>
      </c>
      <c r="B11" s="17" t="s">
        <v>130</v>
      </c>
      <c r="C11" s="18">
        <v>76618</v>
      </c>
    </row>
    <row r="12" ht="18" customHeight="1" spans="1:3">
      <c r="A12" s="17">
        <v>12</v>
      </c>
      <c r="B12" s="17" t="s">
        <v>131</v>
      </c>
      <c r="C12" s="18">
        <v>76618</v>
      </c>
    </row>
    <row r="13" ht="18" customHeight="1" spans="1:3">
      <c r="A13" s="17">
        <v>13</v>
      </c>
      <c r="B13" s="17" t="s">
        <v>132</v>
      </c>
      <c r="C13" s="18">
        <v>76618</v>
      </c>
    </row>
    <row r="14" ht="18" customHeight="1" spans="1:3">
      <c r="A14" s="17">
        <v>14</v>
      </c>
      <c r="B14" s="17" t="s">
        <v>133</v>
      </c>
      <c r="C14" s="18">
        <v>76618</v>
      </c>
    </row>
    <row r="15" ht="18" customHeight="1" spans="1:3">
      <c r="A15" s="17">
        <v>15</v>
      </c>
      <c r="B15" s="17" t="s">
        <v>134</v>
      </c>
      <c r="C15" s="18">
        <v>76618</v>
      </c>
    </row>
    <row r="16" ht="18" customHeight="1" spans="1:3">
      <c r="A16" s="17">
        <v>16</v>
      </c>
      <c r="B16" s="17" t="s">
        <v>135</v>
      </c>
      <c r="C16" s="18">
        <v>76618</v>
      </c>
    </row>
    <row r="17" ht="18" customHeight="1" spans="1:3">
      <c r="A17" s="17">
        <v>17</v>
      </c>
      <c r="B17" s="17" t="s">
        <v>136</v>
      </c>
      <c r="C17" s="18">
        <v>76618</v>
      </c>
    </row>
    <row r="18" ht="18" customHeight="1" spans="1:3">
      <c r="A18" s="17">
        <v>18</v>
      </c>
      <c r="B18" s="17" t="s">
        <v>137</v>
      </c>
      <c r="C18" s="18">
        <v>76618</v>
      </c>
    </row>
    <row r="19" ht="18" customHeight="1" spans="1:3">
      <c r="A19" s="17">
        <v>19</v>
      </c>
      <c r="B19" s="17" t="s">
        <v>138</v>
      </c>
      <c r="C19" s="18">
        <v>76618</v>
      </c>
    </row>
    <row r="20" ht="18" customHeight="1" spans="1:3">
      <c r="A20" s="17">
        <v>20</v>
      </c>
      <c r="B20" s="17" t="s">
        <v>139</v>
      </c>
      <c r="C20" s="18">
        <v>76618</v>
      </c>
    </row>
    <row r="21" ht="18" customHeight="1" spans="1:3">
      <c r="A21" s="17">
        <v>21</v>
      </c>
      <c r="B21" s="17" t="s">
        <v>140</v>
      </c>
      <c r="C21" s="18">
        <v>76618</v>
      </c>
    </row>
    <row r="22" ht="18" customHeight="1" spans="1:3">
      <c r="A22" s="17">
        <v>22</v>
      </c>
      <c r="B22" s="17" t="s">
        <v>141</v>
      </c>
      <c r="C22" s="18">
        <v>76618</v>
      </c>
    </row>
    <row r="23" ht="18" customHeight="1" spans="1:3">
      <c r="A23" s="17">
        <v>23</v>
      </c>
      <c r="B23" s="17" t="s">
        <v>142</v>
      </c>
      <c r="C23" s="18">
        <v>73905</v>
      </c>
    </row>
    <row r="24" ht="18" customHeight="1" spans="1:3">
      <c r="A24" s="17">
        <v>24</v>
      </c>
      <c r="B24" s="17" t="s">
        <v>143</v>
      </c>
      <c r="C24" s="18">
        <v>76618</v>
      </c>
    </row>
    <row r="25" ht="18" customHeight="1" spans="1:3">
      <c r="A25" s="17">
        <v>25</v>
      </c>
      <c r="B25" s="17" t="s">
        <v>144</v>
      </c>
      <c r="C25" s="18">
        <v>74551</v>
      </c>
    </row>
    <row r="26" ht="18" customHeight="1" spans="1:3">
      <c r="A26" s="17">
        <v>26</v>
      </c>
      <c r="B26" s="17" t="s">
        <v>145</v>
      </c>
      <c r="C26" s="18">
        <v>75527</v>
      </c>
    </row>
    <row r="27" ht="15.75" spans="1:3">
      <c r="A27" s="17">
        <v>27</v>
      </c>
      <c r="B27" s="17" t="s">
        <v>146</v>
      </c>
      <c r="C27" s="18">
        <v>72751</v>
      </c>
    </row>
    <row r="28" ht="15.75" spans="1:3">
      <c r="A28" s="17">
        <v>28</v>
      </c>
      <c r="B28" s="17" t="s">
        <v>147</v>
      </c>
      <c r="C28" s="18">
        <v>73529</v>
      </c>
    </row>
    <row r="29" ht="15.75" spans="1:3">
      <c r="A29" s="17">
        <v>29</v>
      </c>
      <c r="B29" s="17" t="s">
        <v>148</v>
      </c>
      <c r="C29" s="18">
        <v>67963</v>
      </c>
    </row>
    <row r="30" ht="15.75" spans="1:3">
      <c r="A30" s="17">
        <v>30</v>
      </c>
      <c r="B30" s="17" t="s">
        <v>149</v>
      </c>
      <c r="C30" s="18">
        <v>75769</v>
      </c>
    </row>
    <row r="31" ht="15.75" spans="1:3">
      <c r="A31" s="17">
        <v>31</v>
      </c>
      <c r="B31" s="17" t="s">
        <v>150</v>
      </c>
      <c r="C31" s="18">
        <v>75674</v>
      </c>
    </row>
    <row r="32" ht="15.75" spans="1:3">
      <c r="A32" s="17">
        <v>32</v>
      </c>
      <c r="B32" s="17" t="s">
        <v>151</v>
      </c>
      <c r="C32" s="18">
        <v>76618</v>
      </c>
    </row>
    <row r="33" ht="15.75" spans="1:3">
      <c r="A33" s="17">
        <v>33</v>
      </c>
      <c r="B33" s="17" t="s">
        <v>152</v>
      </c>
      <c r="C33" s="18">
        <v>72583</v>
      </c>
    </row>
    <row r="34" ht="15.75" spans="1:3">
      <c r="A34" s="17">
        <v>34</v>
      </c>
      <c r="B34" s="17" t="s">
        <v>153</v>
      </c>
      <c r="C34" s="18">
        <v>76618</v>
      </c>
    </row>
    <row r="35" ht="15.75" spans="1:3">
      <c r="A35" s="17">
        <v>35</v>
      </c>
      <c r="B35" s="17" t="s">
        <v>154</v>
      </c>
      <c r="C35" s="18">
        <v>76618</v>
      </c>
    </row>
    <row r="36" ht="15.75" spans="1:3">
      <c r="A36" s="17">
        <v>36</v>
      </c>
      <c r="B36" s="17" t="s">
        <v>155</v>
      </c>
      <c r="C36" s="18">
        <v>76618</v>
      </c>
    </row>
    <row r="37" ht="15.75" spans="1:3">
      <c r="A37" s="17">
        <v>37</v>
      </c>
      <c r="B37" s="17" t="s">
        <v>156</v>
      </c>
      <c r="C37" s="18">
        <v>74904</v>
      </c>
    </row>
    <row r="38" ht="15.75" spans="1:3">
      <c r="A38" s="17">
        <v>38</v>
      </c>
      <c r="B38" s="17" t="s">
        <v>157</v>
      </c>
      <c r="C38" s="18">
        <v>76618</v>
      </c>
    </row>
    <row r="39" ht="15.75" spans="1:3">
      <c r="A39" s="17">
        <v>39</v>
      </c>
      <c r="B39" s="17" t="s">
        <v>158</v>
      </c>
      <c r="C39" s="18">
        <v>75586</v>
      </c>
    </row>
    <row r="40" ht="15.75" spans="1:3">
      <c r="A40" s="17">
        <v>40</v>
      </c>
      <c r="B40" s="17" t="s">
        <v>159</v>
      </c>
      <c r="C40" s="18">
        <v>71080</v>
      </c>
    </row>
    <row r="41" ht="15.75" spans="1:3">
      <c r="A41" s="17">
        <v>41</v>
      </c>
      <c r="B41" s="17" t="s">
        <v>160</v>
      </c>
      <c r="C41" s="18">
        <v>70975</v>
      </c>
    </row>
    <row r="42" ht="15.75" spans="1:3">
      <c r="A42" s="17">
        <v>42</v>
      </c>
      <c r="B42" s="17" t="s">
        <v>161</v>
      </c>
      <c r="C42" s="18">
        <v>73299</v>
      </c>
    </row>
    <row r="43" ht="15.75" spans="1:3">
      <c r="A43" s="17">
        <v>43</v>
      </c>
      <c r="B43" s="17" t="s">
        <v>162</v>
      </c>
      <c r="C43" s="18">
        <v>76000</v>
      </c>
    </row>
    <row r="44" ht="15.75" spans="1:3">
      <c r="A44" s="17">
        <v>44</v>
      </c>
      <c r="B44" s="17" t="s">
        <v>163</v>
      </c>
      <c r="C44" s="18">
        <v>82227</v>
      </c>
    </row>
    <row r="45" ht="15.75" spans="1:3">
      <c r="A45" s="17">
        <v>45</v>
      </c>
      <c r="B45" s="17" t="s">
        <v>164</v>
      </c>
      <c r="C45" s="18">
        <v>76618</v>
      </c>
    </row>
    <row r="46" ht="15.75" spans="1:3">
      <c r="A46" s="17">
        <v>46</v>
      </c>
      <c r="B46" s="17" t="s">
        <v>165</v>
      </c>
      <c r="C46" s="18">
        <v>76618</v>
      </c>
    </row>
    <row r="47" ht="15.75" spans="1:3">
      <c r="A47" s="17">
        <v>47</v>
      </c>
      <c r="B47" s="17" t="s">
        <v>166</v>
      </c>
      <c r="C47" s="18">
        <v>74462</v>
      </c>
    </row>
    <row r="48" ht="15.75" spans="1:3">
      <c r="A48" s="17">
        <v>48</v>
      </c>
      <c r="B48" s="17" t="s">
        <v>167</v>
      </c>
      <c r="C48" s="18">
        <v>76618</v>
      </c>
    </row>
    <row r="49" ht="15.75" spans="1:3">
      <c r="A49" s="17">
        <v>49</v>
      </c>
      <c r="B49" s="17" t="s">
        <v>168</v>
      </c>
      <c r="C49" s="18">
        <v>76618</v>
      </c>
    </row>
    <row r="50" ht="15.75" spans="1:3">
      <c r="A50" s="17">
        <v>50</v>
      </c>
      <c r="B50" s="17" t="s">
        <v>169</v>
      </c>
      <c r="C50" s="18">
        <v>71003</v>
      </c>
    </row>
    <row r="51" ht="15.75" spans="1:3">
      <c r="A51" s="17">
        <v>51</v>
      </c>
      <c r="B51" s="17" t="s">
        <v>170</v>
      </c>
      <c r="C51" s="18">
        <v>76618</v>
      </c>
    </row>
    <row r="52" ht="15.75" spans="1:3">
      <c r="A52" s="17">
        <v>52</v>
      </c>
      <c r="B52" s="17" t="s">
        <v>171</v>
      </c>
      <c r="C52" s="18">
        <v>76618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5"/>
  <sheetViews>
    <sheetView workbookViewId="0">
      <selection activeCell="F10" sqref="F10"/>
    </sheetView>
  </sheetViews>
  <sheetFormatPr defaultColWidth="9" defaultRowHeight="13.5" outlineLevelCol="4"/>
  <cols>
    <col min="1" max="9" width="18.875" customWidth="1"/>
  </cols>
  <sheetData>
    <row r="1" ht="17.25" spans="2:4">
      <c r="B1" s="10" t="s">
        <v>172</v>
      </c>
      <c r="C1" s="10" t="s">
        <v>173</v>
      </c>
      <c r="D1" s="10" t="s">
        <v>174</v>
      </c>
    </row>
    <row r="2" ht="17.25" spans="2:5">
      <c r="B2" s="10" t="s">
        <v>175</v>
      </c>
      <c r="C2" s="11">
        <v>9583.68</v>
      </c>
      <c r="D2" s="11">
        <v>3993.2</v>
      </c>
      <c r="E2">
        <f>C2/12</f>
        <v>798.64</v>
      </c>
    </row>
    <row r="3" ht="17.25" spans="2:4">
      <c r="B3" s="10" t="s">
        <v>176</v>
      </c>
      <c r="C3" s="11">
        <v>12778.2</v>
      </c>
      <c r="D3" s="11">
        <v>5324.27</v>
      </c>
    </row>
    <row r="4" ht="17.25" spans="2:4">
      <c r="B4" s="10" t="s">
        <v>177</v>
      </c>
      <c r="C4" s="11">
        <v>15972.84</v>
      </c>
      <c r="D4" s="11">
        <v>6655.33</v>
      </c>
    </row>
    <row r="5" ht="17.25" spans="2:4">
      <c r="B5" s="10" t="s">
        <v>178</v>
      </c>
      <c r="C5" s="11">
        <v>17570.04</v>
      </c>
      <c r="D5" s="11">
        <v>7320.87</v>
      </c>
    </row>
    <row r="6" ht="17.25" spans="2:4">
      <c r="B6" s="10" t="s">
        <v>179</v>
      </c>
      <c r="C6" s="11">
        <v>19167.36</v>
      </c>
      <c r="D6" s="11">
        <v>7986.4</v>
      </c>
    </row>
    <row r="7" ht="17.25" spans="2:4">
      <c r="B7" s="10" t="s">
        <v>180</v>
      </c>
      <c r="C7" s="11">
        <v>22362</v>
      </c>
      <c r="D7" s="11">
        <v>9317.47</v>
      </c>
    </row>
    <row r="8" ht="17.25" spans="2:4">
      <c r="B8" s="10" t="s">
        <v>181</v>
      </c>
      <c r="C8" s="11">
        <v>25556.4</v>
      </c>
      <c r="D8" s="11">
        <v>10648.53</v>
      </c>
    </row>
    <row r="9" ht="17.25" spans="2:4">
      <c r="B9" s="10" t="s">
        <v>182</v>
      </c>
      <c r="C9" s="11">
        <v>28751.04</v>
      </c>
      <c r="D9" s="11">
        <v>11979.6</v>
      </c>
    </row>
    <row r="10" ht="17.25" spans="2:4">
      <c r="B10" s="10" t="s">
        <v>183</v>
      </c>
      <c r="C10" s="11">
        <v>31945.56</v>
      </c>
      <c r="D10" s="11">
        <v>13310.67</v>
      </c>
    </row>
    <row r="11" ht="17.25" spans="2:4">
      <c r="B11" s="10" t="s">
        <v>184</v>
      </c>
      <c r="C11" s="11">
        <v>35140.2</v>
      </c>
      <c r="D11" s="11">
        <v>14641.73</v>
      </c>
    </row>
    <row r="12" ht="17.25" spans="2:4">
      <c r="B12" s="10" t="s">
        <v>185</v>
      </c>
      <c r="C12" s="11">
        <v>38334.72</v>
      </c>
      <c r="D12" s="11">
        <v>15972.8</v>
      </c>
    </row>
    <row r="13" ht="17.25" spans="2:4">
      <c r="B13" s="10" t="s">
        <v>186</v>
      </c>
      <c r="C13" s="11">
        <v>41529.24</v>
      </c>
      <c r="D13" s="11">
        <v>17303.87</v>
      </c>
    </row>
    <row r="14" ht="17.25" spans="2:4">
      <c r="B14" s="10" t="s">
        <v>187</v>
      </c>
      <c r="C14" s="11">
        <v>44723.76</v>
      </c>
      <c r="D14" s="11">
        <v>18634.93</v>
      </c>
    </row>
    <row r="15" ht="17.25" spans="2:4">
      <c r="B15" s="10" t="s">
        <v>188</v>
      </c>
      <c r="C15" s="11">
        <v>47918.4</v>
      </c>
      <c r="D15" s="11">
        <v>19966</v>
      </c>
    </row>
  </sheetData>
  <pageMargins left="0.75" right="0.75" top="1" bottom="1" header="0.51" footer="0.5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O27"/>
  <sheetViews>
    <sheetView workbookViewId="0">
      <selection activeCell="L44" sqref="L44"/>
    </sheetView>
  </sheetViews>
  <sheetFormatPr defaultColWidth="9" defaultRowHeight="13.5"/>
  <cols>
    <col min="4" max="4" width="12.625"/>
    <col min="5" max="5" width="14.875"/>
    <col min="9" max="10" width="12.625"/>
    <col min="11" max="11" width="10.375"/>
    <col min="15" max="15" width="12.625"/>
  </cols>
  <sheetData>
    <row r="2" spans="3:13">
      <c r="C2" s="3" t="s">
        <v>189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pans="3:13"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3:13"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3:13"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3:13"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3:13"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10" spans="14:15">
      <c r="N10" t="s">
        <v>120</v>
      </c>
      <c r="O10" t="s">
        <v>121</v>
      </c>
    </row>
    <row r="11" spans="4:15">
      <c r="D11" s="1" t="s">
        <v>190</v>
      </c>
      <c r="E11" s="1"/>
      <c r="H11" s="1" t="s">
        <v>191</v>
      </c>
      <c r="I11" s="1"/>
      <c r="N11">
        <v>1</v>
      </c>
      <c r="O11" s="6">
        <f>N11/12</f>
        <v>0.0833333333333333</v>
      </c>
    </row>
    <row r="12" spans="14:15">
      <c r="N12">
        <v>2</v>
      </c>
      <c r="O12" s="6">
        <f t="shared" ref="O12:O22" si="0">N12/12</f>
        <v>0.166666666666667</v>
      </c>
    </row>
    <row r="13" spans="3:15">
      <c r="C13" s="5" t="s">
        <v>79</v>
      </c>
      <c r="D13" s="5"/>
      <c r="E13" s="6">
        <f>测算重点数据说明!C7</f>
        <v>30.4186301369863</v>
      </c>
      <c r="H13" s="5" t="s">
        <v>79</v>
      </c>
      <c r="I13" s="5"/>
      <c r="J13" s="6">
        <v>5</v>
      </c>
      <c r="N13">
        <v>3</v>
      </c>
      <c r="O13" s="6">
        <f t="shared" si="0"/>
        <v>0.25</v>
      </c>
    </row>
    <row r="14" spans="3:15">
      <c r="C14" s="7"/>
      <c r="D14" s="7"/>
      <c r="N14">
        <v>4</v>
      </c>
      <c r="O14" s="6">
        <f t="shared" si="0"/>
        <v>0.333333333333333</v>
      </c>
    </row>
    <row r="15" spans="3:15">
      <c r="C15" s="5" t="s">
        <v>192</v>
      </c>
      <c r="D15" s="5"/>
      <c r="E15">
        <v>1200</v>
      </c>
      <c r="H15" s="5" t="s">
        <v>192</v>
      </c>
      <c r="I15" s="5"/>
      <c r="J15">
        <v>1200</v>
      </c>
      <c r="N15">
        <v>5</v>
      </c>
      <c r="O15" s="6">
        <f t="shared" si="0"/>
        <v>0.416666666666667</v>
      </c>
    </row>
    <row r="16" spans="3:15">
      <c r="C16" s="7"/>
      <c r="D16" s="7"/>
      <c r="N16">
        <v>6</v>
      </c>
      <c r="O16" s="6">
        <f t="shared" si="0"/>
        <v>0.5</v>
      </c>
    </row>
    <row r="17" spans="3:15">
      <c r="C17" s="5" t="s">
        <v>193</v>
      </c>
      <c r="D17" s="5"/>
      <c r="E17">
        <f>测算重点数据说明!C8</f>
        <v>69158.04</v>
      </c>
      <c r="H17" s="5" t="s">
        <v>193</v>
      </c>
      <c r="I17" s="5"/>
      <c r="J17">
        <f>测算重点数据说明!C8</f>
        <v>69158.04</v>
      </c>
      <c r="N17">
        <v>7</v>
      </c>
      <c r="O17" s="6">
        <f t="shared" si="0"/>
        <v>0.583333333333333</v>
      </c>
    </row>
    <row r="18" spans="3:15">
      <c r="C18" s="5"/>
      <c r="D18" s="5"/>
      <c r="N18">
        <v>8</v>
      </c>
      <c r="O18" s="6">
        <f t="shared" si="0"/>
        <v>0.666666666666667</v>
      </c>
    </row>
    <row r="19" spans="4:15">
      <c r="D19" s="7" t="s">
        <v>194</v>
      </c>
      <c r="E19" s="6">
        <f>79864/12</f>
        <v>6655.33333333333</v>
      </c>
      <c r="I19" s="7" t="s">
        <v>194</v>
      </c>
      <c r="J19" s="6">
        <f>79864/12</f>
        <v>6655.33333333333</v>
      </c>
      <c r="N19">
        <v>9</v>
      </c>
      <c r="O19" s="6">
        <f t="shared" si="0"/>
        <v>0.75</v>
      </c>
    </row>
    <row r="20" spans="5:15">
      <c r="E20" s="8">
        <v>0.4</v>
      </c>
      <c r="J20" s="8">
        <v>0.4</v>
      </c>
      <c r="N20">
        <v>10</v>
      </c>
      <c r="O20" s="6">
        <f t="shared" si="0"/>
        <v>0.833333333333333</v>
      </c>
    </row>
    <row r="21" spans="4:15">
      <c r="D21" s="7" t="s">
        <v>120</v>
      </c>
      <c r="E21">
        <v>10</v>
      </c>
      <c r="I21" s="7" t="s">
        <v>120</v>
      </c>
      <c r="J21">
        <v>10</v>
      </c>
      <c r="N21">
        <v>11</v>
      </c>
      <c r="O21" s="6">
        <f t="shared" si="0"/>
        <v>0.916666666666667</v>
      </c>
    </row>
    <row r="22" spans="14:15">
      <c r="N22">
        <v>12</v>
      </c>
      <c r="O22" s="6">
        <f t="shared" si="0"/>
        <v>1</v>
      </c>
    </row>
    <row r="23" spans="2:11">
      <c r="B23" s="1" t="s">
        <v>195</v>
      </c>
      <c r="C23" s="1"/>
      <c r="D23" s="1"/>
      <c r="E23" s="1"/>
      <c r="G23" s="1" t="s">
        <v>196</v>
      </c>
      <c r="H23" s="1"/>
      <c r="I23" s="1"/>
      <c r="J23" s="1"/>
      <c r="K23" s="1"/>
    </row>
    <row r="24" spans="2:11">
      <c r="B24" s="9">
        <f>E19*40%*10</f>
        <v>26621.3333333333</v>
      </c>
      <c r="C24" s="9"/>
      <c r="D24" s="9"/>
      <c r="E24" s="6"/>
      <c r="G24" s="9">
        <f>J19*J20*J21</f>
        <v>26621.3333333333</v>
      </c>
      <c r="H24" s="9"/>
      <c r="I24" s="9"/>
      <c r="J24" s="9">
        <f>G24*J13/15</f>
        <v>8873.77777777778</v>
      </c>
      <c r="K24" s="6"/>
    </row>
    <row r="27" spans="4:10">
      <c r="D27" s="7" t="s">
        <v>197</v>
      </c>
      <c r="E27" s="6">
        <f>B24+E15+E17</f>
        <v>96979.3733333333</v>
      </c>
      <c r="I27" s="7" t="s">
        <v>197</v>
      </c>
      <c r="J27" s="6">
        <f>J24+J17+J15</f>
        <v>79231.8177777778</v>
      </c>
    </row>
  </sheetData>
  <mergeCells count="14">
    <mergeCell ref="D11:E11"/>
    <mergeCell ref="H11:I11"/>
    <mergeCell ref="C13:D13"/>
    <mergeCell ref="H13:I13"/>
    <mergeCell ref="C15:D15"/>
    <mergeCell ref="H15:I15"/>
    <mergeCell ref="C17:D17"/>
    <mergeCell ref="H17:I17"/>
    <mergeCell ref="B23:E23"/>
    <mergeCell ref="G23:K23"/>
    <mergeCell ref="B24:E24"/>
    <mergeCell ref="G24:I24"/>
    <mergeCell ref="J24:K24"/>
    <mergeCell ref="C2:M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2:P32"/>
  <sheetViews>
    <sheetView topLeftCell="B10" workbookViewId="0">
      <selection activeCell="E12" sqref="E12:I32"/>
    </sheetView>
  </sheetViews>
  <sheetFormatPr defaultColWidth="9" defaultRowHeight="13.5"/>
  <cols>
    <col min="15" max="15" width="14.75" customWidth="1"/>
    <col min="16" max="16" width="17" customWidth="1"/>
  </cols>
  <sheetData>
    <row r="12" spans="5:9">
      <c r="E12" s="1" t="s">
        <v>79</v>
      </c>
      <c r="F12" s="1"/>
      <c r="G12" s="1" t="s">
        <v>198</v>
      </c>
      <c r="H12" s="1"/>
      <c r="I12" s="1" t="s">
        <v>199</v>
      </c>
    </row>
    <row r="13" spans="5:9">
      <c r="E13" s="1">
        <v>1</v>
      </c>
      <c r="F13" s="1">
        <v>2</v>
      </c>
      <c r="G13" s="1">
        <f>E13*12</f>
        <v>12</v>
      </c>
      <c r="H13" s="1">
        <f>F13*12</f>
        <v>24</v>
      </c>
      <c r="I13" s="1">
        <v>3</v>
      </c>
    </row>
    <row r="14" spans="5:9">
      <c r="E14" s="1">
        <v>2</v>
      </c>
      <c r="F14" s="1">
        <v>3</v>
      </c>
      <c r="G14" s="1">
        <f t="shared" ref="G14:G22" si="0">E14*12</f>
        <v>24</v>
      </c>
      <c r="H14" s="1">
        <f t="shared" ref="H14:H21" si="1">F14*12</f>
        <v>36</v>
      </c>
      <c r="I14" s="1">
        <v>6</v>
      </c>
    </row>
    <row r="15" spans="5:9">
      <c r="E15" s="1">
        <v>3</v>
      </c>
      <c r="F15" s="1">
        <v>4</v>
      </c>
      <c r="G15" s="1">
        <f t="shared" si="0"/>
        <v>36</v>
      </c>
      <c r="H15" s="1">
        <f t="shared" si="1"/>
        <v>48</v>
      </c>
      <c r="I15" s="1">
        <v>9</v>
      </c>
    </row>
    <row r="16" spans="5:10">
      <c r="E16" s="1">
        <v>4</v>
      </c>
      <c r="F16" s="1">
        <v>5</v>
      </c>
      <c r="G16" s="1">
        <f t="shared" si="0"/>
        <v>48</v>
      </c>
      <c r="H16" s="1">
        <f t="shared" si="1"/>
        <v>60</v>
      </c>
      <c r="I16" s="1">
        <v>12</v>
      </c>
      <c r="J16" s="1"/>
    </row>
    <row r="17" spans="5:10">
      <c r="E17" s="1">
        <v>5</v>
      </c>
      <c r="F17" s="1">
        <v>6</v>
      </c>
      <c r="G17" s="1">
        <f t="shared" si="0"/>
        <v>60</v>
      </c>
      <c r="H17" s="1">
        <f t="shared" si="1"/>
        <v>72</v>
      </c>
      <c r="I17" s="1">
        <v>14</v>
      </c>
      <c r="J17" s="1"/>
    </row>
    <row r="18" spans="5:10">
      <c r="E18" s="1">
        <v>6</v>
      </c>
      <c r="F18" s="1">
        <v>7</v>
      </c>
      <c r="G18" s="1">
        <f t="shared" si="0"/>
        <v>72</v>
      </c>
      <c r="H18" s="1">
        <f t="shared" si="1"/>
        <v>84</v>
      </c>
      <c r="I18" s="1">
        <v>15</v>
      </c>
      <c r="J18" s="1"/>
    </row>
    <row r="19" spans="5:10">
      <c r="E19" s="1">
        <v>7</v>
      </c>
      <c r="F19" s="1">
        <v>8</v>
      </c>
      <c r="G19" s="1">
        <f t="shared" si="0"/>
        <v>84</v>
      </c>
      <c r="H19" s="1">
        <f t="shared" si="1"/>
        <v>96</v>
      </c>
      <c r="I19" s="1">
        <v>16</v>
      </c>
      <c r="J19" s="1"/>
    </row>
    <row r="20" spans="5:9">
      <c r="E20" s="1">
        <v>8</v>
      </c>
      <c r="F20" s="1">
        <v>9</v>
      </c>
      <c r="G20" s="1">
        <f t="shared" si="0"/>
        <v>96</v>
      </c>
      <c r="H20" s="1">
        <f t="shared" si="1"/>
        <v>108</v>
      </c>
      <c r="I20" s="1">
        <v>17</v>
      </c>
    </row>
    <row r="21" spans="5:9">
      <c r="E21" s="1">
        <v>9</v>
      </c>
      <c r="F21" s="1">
        <v>10</v>
      </c>
      <c r="G21" s="1">
        <f t="shared" si="0"/>
        <v>108</v>
      </c>
      <c r="H21" s="1">
        <f t="shared" si="1"/>
        <v>120</v>
      </c>
      <c r="I21" s="1">
        <v>18</v>
      </c>
    </row>
    <row r="22" spans="5:16">
      <c r="E22" s="1">
        <v>10</v>
      </c>
      <c r="F22" s="1"/>
      <c r="G22" s="1">
        <f t="shared" si="0"/>
        <v>120</v>
      </c>
      <c r="H22" s="1"/>
      <c r="I22" s="1">
        <v>19</v>
      </c>
      <c r="O22" t="s">
        <v>200</v>
      </c>
      <c r="P22" s="1">
        <v>116</v>
      </c>
    </row>
    <row r="23" spans="5:16">
      <c r="E23" s="1">
        <v>11</v>
      </c>
      <c r="F23" s="1"/>
      <c r="G23" s="1">
        <f t="shared" ref="G23:G32" si="2">E23*12</f>
        <v>132</v>
      </c>
      <c r="H23" s="1"/>
      <c r="I23" s="1">
        <v>20</v>
      </c>
      <c r="O23" t="s">
        <v>201</v>
      </c>
      <c r="P23" s="2">
        <f>P22/12</f>
        <v>9.66666666666667</v>
      </c>
    </row>
    <row r="24" spans="5:16">
      <c r="E24" s="1">
        <v>12</v>
      </c>
      <c r="F24" s="1"/>
      <c r="G24" s="1">
        <f t="shared" si="2"/>
        <v>144</v>
      </c>
      <c r="H24" s="1"/>
      <c r="I24" s="1">
        <v>21</v>
      </c>
      <c r="O24" t="s">
        <v>202</v>
      </c>
      <c r="P24" s="1">
        <v>40002.16</v>
      </c>
    </row>
    <row r="25" spans="5:9">
      <c r="E25" s="1">
        <v>13</v>
      </c>
      <c r="F25" s="1"/>
      <c r="G25" s="1">
        <f t="shared" si="2"/>
        <v>156</v>
      </c>
      <c r="H25" s="1"/>
      <c r="I25" s="1">
        <v>22</v>
      </c>
    </row>
    <row r="26" spans="5:9">
      <c r="E26" s="1">
        <v>14</v>
      </c>
      <c r="F26" s="1"/>
      <c r="G26" s="1">
        <f t="shared" si="2"/>
        <v>168</v>
      </c>
      <c r="H26" s="1"/>
      <c r="I26" s="1">
        <v>23</v>
      </c>
    </row>
    <row r="27" spans="5:9">
      <c r="E27" s="1">
        <v>15</v>
      </c>
      <c r="F27" s="1"/>
      <c r="G27" s="1">
        <f t="shared" si="2"/>
        <v>180</v>
      </c>
      <c r="H27" s="1"/>
      <c r="I27" s="1">
        <v>24</v>
      </c>
    </row>
    <row r="28" spans="5:9">
      <c r="E28" s="1">
        <v>16</v>
      </c>
      <c r="F28" s="1"/>
      <c r="G28" s="1">
        <f t="shared" si="2"/>
        <v>192</v>
      </c>
      <c r="H28" s="1"/>
      <c r="I28" s="1">
        <v>24</v>
      </c>
    </row>
    <row r="29" spans="5:9">
      <c r="E29" s="1">
        <v>17</v>
      </c>
      <c r="F29" s="1"/>
      <c r="G29" s="1">
        <f t="shared" si="2"/>
        <v>204</v>
      </c>
      <c r="H29" s="1"/>
      <c r="I29" s="1">
        <v>24</v>
      </c>
    </row>
    <row r="30" spans="5:9">
      <c r="E30" s="1">
        <v>18</v>
      </c>
      <c r="F30" s="1"/>
      <c r="G30" s="1">
        <f t="shared" si="2"/>
        <v>216</v>
      </c>
      <c r="H30" s="1"/>
      <c r="I30" s="1">
        <v>24</v>
      </c>
    </row>
    <row r="31" spans="5:9">
      <c r="E31" s="1">
        <v>19</v>
      </c>
      <c r="F31" s="1"/>
      <c r="G31" s="1">
        <f t="shared" si="2"/>
        <v>228</v>
      </c>
      <c r="H31" s="1"/>
      <c r="I31" s="1">
        <v>24</v>
      </c>
    </row>
    <row r="32" spans="5:9">
      <c r="E32" s="1">
        <v>20</v>
      </c>
      <c r="F32" s="1"/>
      <c r="G32" s="1">
        <f t="shared" si="2"/>
        <v>240</v>
      </c>
      <c r="H32" s="1"/>
      <c r="I32" s="1">
        <v>24</v>
      </c>
    </row>
  </sheetData>
  <mergeCells count="13">
    <mergeCell ref="E12:F12"/>
    <mergeCell ref="G12:H12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测算重点数据说明</vt:lpstr>
      <vt:lpstr>Sheet1</vt:lpstr>
      <vt:lpstr>个人账户养老金计发月数表</vt:lpstr>
      <vt:lpstr>吉林省2022年企业职工基本养老金计发基数</vt:lpstr>
      <vt:lpstr>养老保险缴费基数及比例</vt:lpstr>
      <vt:lpstr>抚恤金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張 導 演</cp:lastModifiedBy>
  <dcterms:created xsi:type="dcterms:W3CDTF">2023-02-05T16:19:00Z</dcterms:created>
  <dcterms:modified xsi:type="dcterms:W3CDTF">2024-06-03T02:48:11Z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152189A3FF714F5482B7A069564C44D6_13</vt:lpwstr>
  </property>
</Properties>
</file>